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1.xml" ContentType="application/vnd.openxmlformats-officedocument.spreadsheetml.worksheet+xml"/>
  <Override PartName="/xl/worksheets/sheet6.xml" ContentType="application/vnd.openxmlformats-officedocument.spreadsheetml.worksheet+xml"/>
  <Override PartName="/xl/worksheets/sheet16.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4.xml" ContentType="application/vnd.openxmlformats-officedocument.spreadsheetml.work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xl/worksheets/sheet8.xml" ContentType="application/vnd.openxmlformats-officedocument.spreadsheetml.worksheet+xml"/>
  <Override PartName="/xl/worksheets/sheet14.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Breakeven" sheetId="1" state="visible" r:id="rId3"/>
    <sheet name="Scenario Comparison" sheetId="2" state="visible" r:id="rId4"/>
    <sheet name="Five Year" sheetId="3" state="visible" r:id="rId5"/>
    <sheet name="Average" sheetId="4" state="visible" r:id="rId6"/>
    <sheet name="High Performance" sheetId="5" state="visible" r:id="rId7"/>
    <sheet name="Monthly Year 1" sheetId="6" state="visible" r:id="rId8"/>
    <sheet name="Stress" sheetId="7" state="visible" r:id="rId9"/>
    <sheet name="Sensitivity" sheetId="8" state="visible" r:id="rId10"/>
    <sheet name="Europe Bridge" sheetId="9" state="visible" r:id="rId11"/>
    <sheet name="Inputs" sheetId="10" state="visible" r:id="rId12"/>
    <sheet name="Opex Build" sheetId="11" state="visible" r:id="rId13"/>
    <sheet name="Capital" sheetId="12" state="visible" r:id="rId14"/>
    <sheet name="Regions" sheetId="13" state="visible" r:id="rId15"/>
    <sheet name="Sources" sheetId="14" state="visible" r:id="rId16"/>
    <sheet name="Asset Register" sheetId="15" state="visible" r:id="rId17"/>
    <sheet name="Development" sheetId="16" state="visible" r:id="rId1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<sst xmlns="http://schemas.openxmlformats.org/spreadsheetml/2006/main" count="964" uniqueCount="510">
  <si>
    <t xml:space="preserve">BREAKEVEN &amp; RECOVERY</t>
  </si>
  <si>
    <t xml:space="preserve">Revision 7 · Livingstone, Zambia · new 20-suite encampment under a proposed government land partnership · no land rent or deposit · EUR reporting</t>
  </si>
  <si>
    <t xml:space="preserve">CONSERVATIVE YEAR 1 CASH BREAKEVEN</t>
  </si>
  <si>
    <t xml:space="preserve">OPERATING CASH POSITIVE</t>
  </si>
  <si>
    <t xml:space="preserve">STARTUP SPEND RECOVERED</t>
  </si>
  <si>
    <t xml:space="preserve">VISIBLE CASH BREAKEVEN CALCULATION</t>
  </si>
  <si>
    <t xml:space="preserve">CASE COMPARISON</t>
  </si>
  <si>
    <t xml:space="preserve">Net package per paid suite-week</t>
  </si>
  <si>
    <t xml:space="preserve">Fixed + mission floor</t>
  </si>
  <si>
    <t xml:space="preserve">Case</t>
  </si>
  <si>
    <t xml:space="preserve">Cash threshold</t>
  </si>
  <si>
    <t xml:space="preserve">Rounded weeks</t>
  </si>
  <si>
    <t xml:space="preserve">Whole capacity</t>
  </si>
  <si>
    <t xml:space="preserve">EBITDA threshold</t>
  </si>
  <si>
    <t xml:space="preserve">EBITDA package at forecast</t>
  </si>
  <si>
    <t xml:space="preserve">Delivery per paid suite-week</t>
  </si>
  <si>
    <t xml:space="preserve">Cash contribution / paid suite-week</t>
  </si>
  <si>
    <t xml:space="preserve">Conservative</t>
  </si>
  <si>
    <t xml:space="preserve">Sales and payment rate</t>
  </si>
  <si>
    <t xml:space="preserve">Continuous cash breakeven</t>
  </si>
  <si>
    <t xml:space="preserve">Middle</t>
  </si>
  <si>
    <t xml:space="preserve">Mission revenue share</t>
  </si>
  <si>
    <t xml:space="preserve">Whole paid suite-weeks</t>
  </si>
  <si>
    <t xml:space="preserve">High</t>
  </si>
  <si>
    <t xml:space="preserve">Replacement rate</t>
  </si>
  <si>
    <t xml:space="preserve">Cash at one week below</t>
  </si>
  <si>
    <t xml:space="preserve">Initial Year 1 working-capital rate</t>
  </si>
  <si>
    <t xml:space="preserve">Cash at rounded threshold</t>
  </si>
  <si>
    <t xml:space="preserve">Modelled tax rate</t>
  </si>
  <si>
    <t xml:space="preserve">Threshold net sales</t>
  </si>
  <si>
    <t xml:space="preserve">ACCOUNTING PROFIT BREAKEVEN</t>
  </si>
  <si>
    <t xml:space="preserve">Fixed site and central expenses</t>
  </si>
  <si>
    <t xml:space="preserve">Threshold accounting profit</t>
  </si>
  <si>
    <t xml:space="preserve">Mission floor</t>
  </si>
  <si>
    <t xml:space="preserve">Threshold tax</t>
  </si>
  <si>
    <t xml:space="preserve">Initial annual depreciation, life-capped Year 1</t>
  </si>
  <si>
    <t xml:space="preserve">Annual capacity, suite-weeks</t>
  </si>
  <si>
    <t xml:space="preserve">Development months before handover</t>
  </si>
  <si>
    <t xml:space="preserve">DYNAMIC CASH THRESHOLD · FOUR STRAIGHT-LINE CASES</t>
  </si>
  <si>
    <t xml:space="preserve">Continuous paid suite-weeks</t>
  </si>
  <si>
    <t xml:space="preserve">Mission branch</t>
  </si>
  <si>
    <t xml:space="preserve">Tax branch</t>
  </si>
  <si>
    <t xml:space="preserve">Cash contribution slope</t>
  </si>
  <si>
    <t xml:space="preserve">Floor / non-taxable</t>
  </si>
  <si>
    <t xml:space="preserve">Tax zero</t>
  </si>
  <si>
    <t xml:space="preserve">Share / non-taxable</t>
  </si>
  <si>
    <t xml:space="preserve">Revenue share</t>
  </si>
  <si>
    <t xml:space="preserve">Floor / taxable</t>
  </si>
  <si>
    <t xml:space="preserve">Tax applies</t>
  </si>
  <si>
    <t xml:space="preserve">Share / taxable</t>
  </si>
  <si>
    <t xml:space="preserve">Minimum slope (must be positive)</t>
  </si>
  <si>
    <t xml:space="preserve">Cash at 134 paid suite-weeks</t>
  </si>
  <si>
    <t xml:space="preserve">Cash at 135 paid suite-weeks</t>
  </si>
  <si>
    <t xml:space="preserve">EBITDA at cash threshold</t>
  </si>
  <si>
    <t xml:space="preserve">Accounting profit at cash threshold</t>
  </si>
  <si>
    <t xml:space="preserve">Tax at cash threshold</t>
  </si>
  <si>
    <t xml:space="preserve">CONSERVATIVE RECOVERY MILESTONES</t>
  </si>
  <si>
    <t xml:space="preserve">Milestone</t>
  </si>
  <si>
    <t xml:space="preserve">Operating month</t>
  </si>
  <si>
    <t xml:space="preserve">Project month</t>
  </si>
  <si>
    <t xml:space="preserve">Amount / threshold</t>
  </si>
  <si>
    <t xml:space="preserve">Meaning</t>
  </si>
  <si>
    <t xml:space="preserve">First individual monthly cash surplus (that month’s flow)</t>
  </si>
  <si>
    <t xml:space="preserve">That month's own cash flow, not cumulative cash</t>
  </si>
  <si>
    <t xml:space="preserve">Cumulative operating free cash first positive</t>
  </si>
  <si>
    <t xml:space="preserve">Generated since operations began; excludes opening reserve</t>
  </si>
  <si>
    <t xml:space="preserve">Total capital + pre-opening use recovered</t>
  </si>
  <si>
    <t xml:space="preserve">Startup-spend comparison; not investor payout or IRR</t>
  </si>
  <si>
    <t xml:space="preserve">Base committed funding exceeded</t>
  </si>
  <si>
    <t xml:space="preserve">Capital-commitment comparison only</t>
  </si>
  <si>
    <t xml:space="preserve">Stress-covered funding recovered</t>
  </si>
  <si>
    <t xml:space="preserve">Five-year cumulative free cash is below this threshold</t>
  </si>
  <si>
    <t xml:space="preserve">Cumulative operating free cash</t>
  </si>
  <si>
    <t xml:space="preserve">Startup spend</t>
  </si>
  <si>
    <t xml:space="preserve">Base funding</t>
  </si>
  <si>
    <t xml:space="preserve">Stress-covered funding</t>
  </si>
  <si>
    <t xml:space="preserve">Planning assumptions only. Milestones are conditional on demand, costs and schedule. Operating free cash excludes the €800,000 opening reserve; recovery comparisons are not investor payouts, IRR or promised returns.</t>
  </si>
  <si>
    <t xml:space="preserve">Feasibility guard: if the cash contribution per paid suite-week is not positive, or the requirement exceeds annual capacity, the summary reports "Not feasible" instead of a misleading zero or negative threshold.</t>
  </si>
  <si>
    <t xml:space="preserve">Revision 7 scenario comparison — Livingstone, Zambia new-build encampment under a proposed government land partnership</t>
  </si>
  <si>
    <t xml:space="preserve">High performance</t>
  </si>
  <si>
    <t xml:space="preserve">Year 1 net stay revenue</t>
  </si>
  <si>
    <t xml:space="preserve">Higher price and higher occupancy have to be achieved together. No probability of success is assigned to any column.</t>
  </si>
  <si>
    <t xml:space="preserve">Year 1 EBITDA</t>
  </si>
  <si>
    <t xml:space="preserve">Year 1 EBITDA margin</t>
  </si>
  <si>
    <t xml:space="preserve">Year 1 net cash movement</t>
  </si>
  <si>
    <t xml:space="preserve">Year 5 net stay revenue</t>
  </si>
  <si>
    <t xml:space="preserve">Year 5 EBITDA</t>
  </si>
  <si>
    <t xml:space="preserve">Year 5 EBITDA margin</t>
  </si>
  <si>
    <t xml:space="preserve">Year 5 net cash movement</t>
  </si>
  <si>
    <t xml:space="preserve">Year 5 closing cash</t>
  </si>
  <si>
    <t xml:space="preserve">Five-year cumulative net cash</t>
  </si>
  <si>
    <t xml:space="preserve">Five-year cumulative mission spend</t>
  </si>
  <si>
    <t xml:space="preserve">Break-even occupancy, Year 1</t>
  </si>
  <si>
    <t xml:space="preserve">Break-even net package, Year 1</t>
  </si>
  <si>
    <t xml:space="preserve">Committed funding (base)</t>
  </si>
  <si>
    <t xml:space="preserve">Additional stress liquidity disclosed</t>
  </si>
  <si>
    <t xml:space="preserve">Stress-covered committed funding</t>
  </si>
  <si>
    <t xml:space="preserve">Conservative case — Livingstone, Zambia · 20 suites · 40 planned weeks · EUR nominal</t>
  </si>
  <si>
    <t xml:space="preserve">Illustrative planning case. Not achieved results, not a forecast of demand and not a promised margin.</t>
  </si>
  <si>
    <t xml:space="preserve">Year 1</t>
  </si>
  <si>
    <t xml:space="preserve">Year 2</t>
  </si>
  <si>
    <t xml:space="preserve">Year 3</t>
  </si>
  <si>
    <t xml:space="preserve">Year 4</t>
  </si>
  <si>
    <t xml:space="preserve">Year 5</t>
  </si>
  <si>
    <t xml:space="preserve">Paid occupancy</t>
  </si>
  <si>
    <t xml:space="preserve">Net operating revenue convention: prices are NET of VAT and the tourism levy, which are charged separately to guests and are pass-through, not revenue.</t>
  </si>
  <si>
    <t xml:space="preserve">Net package per suite-week (EUR)</t>
  </si>
  <si>
    <t xml:space="preserve">Occupied suite-weeks</t>
  </si>
  <si>
    <t xml:space="preserve">Net stay revenue</t>
  </si>
  <si>
    <t xml:space="preserve">Variable cost per occupied suite-week</t>
  </si>
  <si>
    <t xml:space="preserve">Variable delivery cost</t>
  </si>
  <si>
    <t xml:space="preserve">Sales and payment costs</t>
  </si>
  <si>
    <t xml:space="preserve">Mission budget</t>
  </si>
  <si>
    <t xml:space="preserve">Fixed site cost</t>
  </si>
  <si>
    <t xml:space="preserve">Central support</t>
  </si>
  <si>
    <t xml:space="preserve">Operating profit / EBITDA</t>
  </si>
  <si>
    <t xml:space="preserve">EBITDA margin</t>
  </si>
  <si>
    <t xml:space="preserve">Replacement capex</t>
  </si>
  <si>
    <t xml:space="preserve">Depreciation</t>
  </si>
  <si>
    <t xml:space="preserve">Accounting profit before tax</t>
  </si>
  <si>
    <t xml:space="preserve">Tax at 30% of positive profit</t>
  </si>
  <si>
    <t xml:space="preserve">Net accounting profit</t>
  </si>
  <si>
    <t xml:space="preserve">Working capital movement</t>
  </si>
  <si>
    <t xml:space="preserve">Net cash movement</t>
  </si>
  <si>
    <t xml:space="preserve">Closing cash</t>
  </si>
  <si>
    <t xml:space="preserve">Year 1 EBITDA breakeven occupancy (excludes replacement, working capital and tax)</t>
  </si>
  <si>
    <t xml:space="preserve">Year 1 EBITDA breakeven net package at forecast paid suite-weeks</t>
  </si>
  <si>
    <t xml:space="preserve">Year 1 cash breakeven occupancy (tax, replacement and initial working capital included)</t>
  </si>
  <si>
    <t xml:space="preserve">Scenario switches</t>
  </si>
  <si>
    <t xml:space="preserve">Variable cost multiplier</t>
  </si>
  <si>
    <t xml:space="preserve">Fixed and central multiplier</t>
  </si>
  <si>
    <t xml:space="preserve">Sales and payments share of revenue</t>
  </si>
  <si>
    <t xml:space="preserve">Year 1 net package</t>
  </si>
  <si>
    <t xml:space="preserve">Paid occupancy by year</t>
  </si>
  <si>
    <t xml:space="preserve">Middle case — Livingstone, Zambia · 20 suites · 40 planned weeks · EUR nominal</t>
  </si>
  <si>
    <t xml:space="preserve">High performance case — Livingstone, Zambia · 20 suites · 40 planned weeks · EUR nominal</t>
  </si>
  <si>
    <t xml:space="preserve">Conservative Year 1 monthly cash — 0 bookable weeks in January and February, 4 weeks March to December</t>
  </si>
  <si>
    <t xml:space="preserve">Tax is spread evenly as a planning timing convention. It is NOT the statutory payment calendar.</t>
  </si>
  <si>
    <t xml:space="preserve">Jan</t>
  </si>
  <si>
    <t xml:space="preserve">Feb</t>
  </si>
  <si>
    <t xml:space="preserve">Mar</t>
  </si>
  <si>
    <t xml:space="preserve">Apr</t>
  </si>
  <si>
    <t xml:space="preserve">May</t>
  </si>
  <si>
    <t xml:space="preserve">Jun</t>
  </si>
  <si>
    <t xml:space="preserve">Jul</t>
  </si>
  <si>
    <t xml:space="preserve">Aug</t>
  </si>
  <si>
    <t xml:space="preserve">Sep</t>
  </si>
  <si>
    <t xml:space="preserve">Oct</t>
  </si>
  <si>
    <t xml:space="preserve">Nov</t>
  </si>
  <si>
    <t xml:space="preserve">Dec</t>
  </si>
  <si>
    <t xml:space="preserve">Year 1 total</t>
  </si>
  <si>
    <t xml:space="preserve">Bookable weeks</t>
  </si>
  <si>
    <t xml:space="preserve">January and February carry full fixed cost, the monthly mission floor, planning tax and working capital with no revenue.</t>
  </si>
  <si>
    <t xml:space="preserve">Mission spend</t>
  </si>
  <si>
    <t xml:space="preserve">Tax (planning timing)</t>
  </si>
  <si>
    <t xml:space="preserve">Lowest monthly cash in Year 1</t>
  </si>
  <si>
    <t xml:space="preserve">Cash floor</t>
  </si>
  <si>
    <t xml:space="preserve">Stress tests — conservative demand case, committed funding held fixed at the base case</t>
  </si>
  <si>
    <t xml:space="preserve">Never presented as all-pass. The capital overrun, combined and delay-combined stresses fall below the cash floor and require additional committed liquidity.</t>
  </si>
  <si>
    <t xml:space="preserve">Base</t>
  </si>
  <si>
    <t xml:space="preserve">Commercial downside</t>
  </si>
  <si>
    <t xml:space="preserve">20% stronger Kwacha</t>
  </si>
  <si>
    <t xml:space="preserve">20% capex + local overrun</t>
  </si>
  <si>
    <t xml:space="preserve">Combined stress</t>
  </si>
  <si>
    <t xml:space="preserve">Six-month construction delay</t>
  </si>
  <si>
    <t xml:space="preserve">Combined stress plus delay</t>
  </si>
  <si>
    <t xml:space="preserve">Occupancy reduction (percentage points)</t>
  </si>
  <si>
    <t xml:space="preserve">Price multiplier</t>
  </si>
  <si>
    <t xml:space="preserve">Cash cost multiplier</t>
  </si>
  <si>
    <t xml:space="preserve">Mission floor multiplier</t>
  </si>
  <si>
    <t xml:space="preserve">Local cost overrun multiplier</t>
  </si>
  <si>
    <t xml:space="preserve">ZMW per EUR applied</t>
  </si>
  <si>
    <t xml:space="preserve">Capex overrun multiplier</t>
  </si>
  <si>
    <t xml:space="preserve">Cash available at handover (negative is an unfunded gap)</t>
  </si>
  <si>
    <t xml:space="preserve">Lowest month across five years</t>
  </si>
  <si>
    <t xml:space="preserve">Cash floor breach</t>
  </si>
  <si>
    <t xml:space="preserve">The worst shortfall against the EUR 300,000 floor drives the additional committed liquidity disclosed below. Not every stress passes.</t>
  </si>
  <si>
    <t xml:space="preserve">Additional committed liquidity disclosed</t>
  </si>
  <si>
    <t xml:space="preserve">Base — five-year detail</t>
  </si>
  <si>
    <t xml:space="preserve">Monthly closing cash, five years (lowest shown above)</t>
  </si>
  <si>
    <t xml:space="preserve">Year 1 monthly minimum</t>
  </si>
  <si>
    <t xml:space="preserve">Year 2 monthly minimum</t>
  </si>
  <si>
    <t xml:space="preserve">Year 3 monthly minimum</t>
  </si>
  <si>
    <t xml:space="preserve">Year 4 monthly minimum</t>
  </si>
  <si>
    <t xml:space="preserve">Year 5 monthly minimum</t>
  </si>
  <si>
    <t xml:space="preserve">Five-year monthly minimum</t>
  </si>
  <si>
    <t xml:space="preserve">Commercial downside — five-year detail</t>
  </si>
  <si>
    <t xml:space="preserve">20% stronger Kwacha — five-year detail</t>
  </si>
  <si>
    <t xml:space="preserve">20% capex + local overrun — five-year detail</t>
  </si>
  <si>
    <t xml:space="preserve">Combined stress — five-year detail</t>
  </si>
  <si>
    <t xml:space="preserve">Six-month construction delay — five-year detail</t>
  </si>
  <si>
    <t xml:space="preserve">Combined stress plus six-month delay — five-year detail</t>
  </si>
  <si>
    <t xml:space="preserve">Year 1 net cash movement — occupancy against net package (conservative cost base)</t>
  </si>
  <si>
    <t xml:space="preserve">A planning sensitivity grid, not a probability distribution.</t>
  </si>
  <si>
    <t xml:space="preserve">Occupancy \ Net package</t>
  </si>
  <si>
    <t xml:space="preserve">Break-even occupancy at each package (before tax and working capital)</t>
  </si>
  <si>
    <t xml:space="preserve">Operating comparison — identical capacity and tax, European cost book against the Zambia encampment</t>
  </si>
  <si>
    <t xml:space="preserve">Same 800 suite-weeks, same conservative price and occupancy, same 30% tax proxy. An operating cost-structure comparison only: the property type and land tenure differ, so this is NOT a like-for-like capital comparison and no capital saving is claimed. Revision 7 carries no land rent, because land use is assumed to be authorised under a proposed government land partnership.</t>
  </si>
  <si>
    <t xml:space="preserve">European 40-week book</t>
  </si>
  <si>
    <t xml:space="preserve">Zambia Revision 7</t>
  </si>
  <si>
    <t xml:space="preserve">Difference</t>
  </si>
  <si>
    <t xml:space="preserve">The improvement is a cost-structure effect at identical revenue. Geography alone does not guarantee profit.</t>
  </si>
  <si>
    <t xml:space="preserve">Funding change against the historical EUR 3.316m case</t>
  </si>
  <si>
    <t xml:space="preserve">Historical committed funding</t>
  </si>
  <si>
    <t xml:space="preserve">Revision 7 committed funding, base case</t>
  </si>
  <si>
    <t xml:space="preserve">Reduction from a smaller opening reserve (EUR 800,000 against EUR 1,600,000)</t>
  </si>
  <si>
    <t xml:space="preserve">The two causes are separate. This is NOT all an FX saving: a leaner costed conversion scope and a deliberately smaller opening reserve each contribute.</t>
  </si>
  <si>
    <t xml:space="preserve">Increase from building a new encampment: local construction, imported tents and plant, and an 18-month development programme (no land rent or land deposit is carried)</t>
  </si>
  <si>
    <t xml:space="preserve">Revision 7 committed funding, reconciled</t>
  </si>
  <si>
    <t xml:space="preserve">Stress-covered funding of EUR 2.17m, including the disclosed EUR 220,000 of additional liquidity, is the prudent comparison figure.</t>
  </si>
  <si>
    <t xml:space="preserve">Revision 5 funding of EUR 1.95m related to a leased existing-lodge conversion and is superseded. The Revision 7 requirement is higher because nothing is repurposed. Revision 6 carried land rent and a refundable land deposit; Revision 7 excludes both, because land use is assumed to be authorised under a proposed long-term government land partnership. The prudential, stress-covered envelope is EUR 5,829,551.</t>
  </si>
  <si>
    <t xml:space="preserve">THE EDEN OBJECTIVE — Revision 7 planning model</t>
  </si>
  <si>
    <t xml:space="preserve">Livingstone, Zambia first-location scenario: a NEW 20-suite luxury tented and modular encampment built under a proposed long-term government land partnership. Revision 7 EXCLUDES land lease expenses: land use would be authorised in return for ecological regeneration, measurable community benefit and enduring protection of a defined acreage. No rent, deposit, grant, title, concession, tax exemption or statutory reserve designation is secured. Costed feasibility assumptions, NOT supplier quotations, NOT quantity-surveyor certification and NOT a promised margin.</t>
  </si>
  <si>
    <t xml:space="preserve">Blue = input you can change. Black = formula. Green = link from another sheet. Yellow = key assumption needing local validation.</t>
  </si>
  <si>
    <t xml:space="preserve">Foreign exchange — sourced fact (dated)</t>
  </si>
  <si>
    <t xml:space="preserve">Currency</t>
  </si>
  <si>
    <t xml:space="preserve">Amount</t>
  </si>
  <si>
    <t xml:space="preserve">Source date</t>
  </si>
  <si>
    <t xml:space="preserve">FX used</t>
  </si>
  <si>
    <t xml:space="preserve">Converted EUR</t>
  </si>
  <si>
    <t xml:space="preserve">Confidence</t>
  </si>
  <si>
    <t xml:space="preserve">ZMW per EUR — Bank of Zambia midpoint</t>
  </si>
  <si>
    <t xml:space="preserve">ZMW/EUR</t>
  </si>
  <si>
    <t xml:space="preserve">2026-09-07</t>
  </si>
  <si>
    <t xml:space="preserve">Sourced midpoint</t>
  </si>
  <si>
    <t xml:space="preserve">Buying/selling 22.2822 / 22.3422; midpoint derived. Not a guaranteed transaction rate.</t>
  </si>
  <si>
    <t xml:space="preserve">ZMW per USD — Bank of Zambia midpoint</t>
  </si>
  <si>
    <t xml:space="preserve">ZMW/USD</t>
  </si>
  <si>
    <t xml:space="preserve">Buying/selling 19.1642 / 19.2142; midpoint derived. Not a guaranteed transaction rate.</t>
  </si>
  <si>
    <t xml:space="preserve">Derived USD to EUR cross rate</t>
  </si>
  <si>
    <t xml:space="preserve">USD costs cross-convert USD to ZMW to EUR. No uniform 'Africa discount' is applied anywhere.</t>
  </si>
  <si>
    <t xml:space="preserve">FX is held constant in the base case, is editable here, and is stress-tested on the Stress sheet. No uniform African currency discount is applied anywhere.</t>
  </si>
  <si>
    <t xml:space="preserve">Capacity and product</t>
  </si>
  <si>
    <t xml:space="preserve">Suites</t>
  </si>
  <si>
    <t xml:space="preserve">New-build tented and modular encampment under a proposed long-term government land partnership. No lodge conversion, no refurbishment, no property acquisition and no land rent. No expansion modelled.</t>
  </si>
  <si>
    <t xml:space="preserve">Planned bookable weeks per year</t>
  </si>
  <si>
    <t xml:space="preserve">Chosen planning schedule (Mar-Dec), NOT verified all-weather demand.</t>
  </si>
  <si>
    <t xml:space="preserve">Available suite-weeks</t>
  </si>
  <si>
    <t xml:space="preserve">20 suites x 40 weeks = 800 suite-weeks.</t>
  </si>
  <si>
    <t xml:space="preserve">Nights per stay</t>
  </si>
  <si>
    <t xml:space="preserve">Guests per suite</t>
  </si>
  <si>
    <t xml:space="preserve">Two guests sharing.</t>
  </si>
  <si>
    <t xml:space="preserve">Local operating budget, Year 1 — management allowances in ZMW (unquoted)</t>
  </si>
  <si>
    <t xml:space="preserve">Payroll including employer obligations, benefits, training and relief provision</t>
  </si>
  <si>
    <t xml:space="preserve">ZMW</t>
  </si>
  <si>
    <t xml:space="preserve">2026-09-11</t>
  </si>
  <si>
    <t xml:space="preserve">Unquoted allowance</t>
  </si>
  <si>
    <t xml:space="preserve">Gross ZMW 3,648,000 plus ZMW 1,752,000 obligations/benefits/training/relief contingency. NOT a statutory rate and NOT market-validated.</t>
  </si>
  <si>
    <t xml:space="preserve">Government partnership assumption — no land rent (annual land rent allowance set to zero, shown for transparency)</t>
  </si>
  <si>
    <t xml:space="preserve">Zero. Revision 7 excludes land lease expenses: land use would be authorised in return for ecological regeneration, measurable community benefit and enduring protection of a defined acreage. Shown as a labelled zero for transparency, NOT a secured grant, concession, tax exemption or guaranteed rent waiver.</t>
  </si>
  <si>
    <t xml:space="preserve">Utilities, backup fuel, water and waste</t>
  </si>
  <si>
    <t xml:space="preserve">Includes generator fuel and water/waste handling.</t>
  </si>
  <si>
    <t xml:space="preserve">Insurance, licensing and administration</t>
  </si>
  <si>
    <t xml:space="preserve">Local advice required on licences and levies.</t>
  </si>
  <si>
    <t xml:space="preserve">Repairs, grounds, security supplies</t>
  </si>
  <si>
    <t xml:space="preserve">Consumables and routine maintenance.</t>
  </si>
  <si>
    <t xml:space="preserve">Total local fixed operating budget</t>
  </si>
  <si>
    <t xml:space="preserve">International marketing (EUR)</t>
  </si>
  <si>
    <t xml:space="preserve">EUR</t>
  </si>
  <si>
    <t xml:space="preserve">Charged in EUR; inflates at the international rate.</t>
  </si>
  <si>
    <t xml:space="preserve">Central support (EUR) — held separately from site cost</t>
  </si>
  <si>
    <t xml:space="preserve">Year 1 fixed SITE cost (local total + marketing)</t>
  </si>
  <si>
    <t xml:space="preserve">Payroll is funded for the full 12 months even though only 40 weeks are bookable. The 40 weeks describe a full operating year, not a construction year. Revision 7 carries no land rent: the proposed government land partnership authorises land use in exchange for restoration, community benefit and long-term protection. Legal and land due diligence, community consultation, ecology, design, permits, insurance, ordinary taxes, staff and site care, restoration capex and the continuing mission budget are all retained.</t>
  </si>
  <si>
    <t xml:space="preserve">Local food and beverage</t>
  </si>
  <si>
    <t xml:space="preserve">Local transfers, laundry and supplies</t>
  </si>
  <si>
    <t xml:space="preserve">Flexible local experience labour</t>
  </si>
  <si>
    <t xml:space="preserve">International facilitators</t>
  </si>
  <si>
    <t xml:space="preserve">Imported guest consumables</t>
  </si>
  <si>
    <t xml:space="preserve">Local subtotal (ZMW)</t>
  </si>
  <si>
    <t xml:space="preserve">International subtotal (EUR)</t>
  </si>
  <si>
    <t xml:space="preserve">Total variable per occupied suite-week (EUR)</t>
  </si>
  <si>
    <t xml:space="preserve">No double count of full-time payroll, and no guest-funded activities that are charged separately.</t>
  </si>
  <si>
    <t xml:space="preserve">Inflation, tax and policy assumptions</t>
  </si>
  <si>
    <t xml:space="preserve">Local ZMW cost inflation</t>
  </si>
  <si>
    <t xml:space="preserve">Planning assumption for Kwacha costs.</t>
  </si>
  <si>
    <t xml:space="preserve">International EUR cost inflation</t>
  </si>
  <si>
    <t xml:space="preserve">Applies to EUR fixed and variable costs.</t>
  </si>
  <si>
    <t xml:space="preserve">Package price escalation (EUR)</t>
  </si>
  <si>
    <t xml:space="preserve">Planning input, not evidence of pricing power.</t>
  </si>
  <si>
    <t xml:space="preserve">Mission floor (EUR, Year 1)</t>
  </si>
  <si>
    <t xml:space="preserve">Inflates 3% annually; additional to payroll and local procurement.</t>
  </si>
  <si>
    <t xml:space="preserve">Mission share of net revenue</t>
  </si>
  <si>
    <t xml:space="preserve">The greater of the floor or this share is spent.</t>
  </si>
  <si>
    <t xml:space="preserve">Replacement capex, share of revenue</t>
  </si>
  <si>
    <t xml:space="preserve">Working capital balance, share of revenue</t>
  </si>
  <si>
    <t xml:space="preserve">Cash flows carry the year-on-year delta.</t>
  </si>
  <si>
    <t xml:space="preserve">Corporate income tax on accounting profit</t>
  </si>
  <si>
    <t xml:space="preserve">ZRA standard 30% used as a transparent planning proxy. No loss carry-forward or incentives assumed.</t>
  </si>
  <si>
    <t xml:space="preserve">Opening cash reserve (EUR)</t>
  </si>
  <si>
    <t xml:space="preserve">Management reserve; not spent capex.</t>
  </si>
  <si>
    <t xml:space="preserve">Cash floor (EUR)</t>
  </si>
  <si>
    <t xml:space="preserve">Includes EUR 100,000 for closure and continuing care.</t>
  </si>
  <si>
    <t xml:space="preserve">VAT of 16% and the 1.5% tourism levy are charged separately to guests and are pass-through, not revenue. Cost allowances assume no VAT recovery benefit: recoverable VAT is excluded from modelled costs and no refund, credit or construction-tax funding benefit is assumed, budgeted or secured, including on imported items. Non-recoverable charges sit inside cost allowances. Site and contract tax treatment, any VAT recovery entitlement and any tax-payment timing bridge require adviser validation. This is not a certified tax computation.</t>
  </si>
  <si>
    <t xml:space="preserve">Region selector</t>
  </si>
  <si>
    <t xml:space="preserve">Region number (1-14, see Regions sheet)</t>
  </si>
  <si>
    <t xml:space="preserve">Selected region</t>
  </si>
  <si>
    <t xml:space="preserve">Selected suites</t>
  </si>
  <si>
    <t xml:space="preserve">Selected open weeks</t>
  </si>
  <si>
    <t xml:space="preserve">The ZMW local cost preset above belongs to Zambia only. It must NOT be applied to the other thirteen research candidates. Asset lives assume a land-use agreement long enough to support them — a 25-year planning term that is not secured and is subject to legal advice. Duration, renewal, defined area in acres, ecological baseline and targets, community governance, independent reporting, care funding, obligations and continuity on exit are all matters for the proposed agreement.</t>
  </si>
  <si>
    <t xml:space="preserve">Year 1 staffing plan — example roster supporting the ZMW payroll allowance</t>
  </si>
  <si>
    <t xml:space="preserve">Role</t>
  </si>
  <si>
    <t xml:space="preserve">FTE</t>
  </si>
  <si>
    <t xml:space="preserve">Monthly ZMW each</t>
  </si>
  <si>
    <t xml:space="preserve">Monthly ZMW total</t>
  </si>
  <si>
    <t xml:space="preserve">Annual ZMW</t>
  </si>
  <si>
    <t xml:space="preserve">General manager</t>
  </si>
  <si>
    <t xml:space="preserve">Operations and programme lead</t>
  </si>
  <si>
    <t xml:space="preserve">Head chef</t>
  </si>
  <si>
    <t xml:space="preserve">Sous chef</t>
  </si>
  <si>
    <t xml:space="preserve">Hosts</t>
  </si>
  <si>
    <t xml:space="preserve">Housekeeping</t>
  </si>
  <si>
    <t xml:space="preserve">Maintenance and grounds</t>
  </si>
  <si>
    <t xml:space="preserve">Security</t>
  </si>
  <si>
    <t xml:space="preserve">Accounts and administration</t>
  </si>
  <si>
    <t xml:space="preserve">Total example roster</t>
  </si>
  <si>
    <t xml:space="preserve">24 FTE example: gross ZMW 304,000 per month, ZMW 3,648,000 per year.</t>
  </si>
  <si>
    <t xml:space="preserve">Employer obligations, benefits, training and relief provision</t>
  </si>
  <si>
    <t xml:space="preserve">The balance to ZMW 5,400,000 is a management contingency for employer obligations, benefits, training and relief cover. It is NOT a statutory rate.</t>
  </si>
  <si>
    <t xml:space="preserve">Payroll allowance carried in the model</t>
  </si>
  <si>
    <t xml:space="preserve">NAPSA employer contribution is 5% subject to the applicable ceiling; broader obligations require local advice. Salaries are not market-validated.</t>
  </si>
  <si>
    <t xml:space="preserve">Guest contribution never substitutes for paid local roles, and the seasonal crew allowance from earlier revisions is not added on top of this roster.</t>
  </si>
  <si>
    <t xml:space="preserve">Year 1 site and central cost bridge to EUR</t>
  </si>
  <si>
    <t xml:space="preserve">Line</t>
  </si>
  <si>
    <t xml:space="preserve">Basis</t>
  </si>
  <si>
    <t xml:space="preserve">Local fixed operating budget</t>
  </si>
  <si>
    <t xml:space="preserve">Converted at the dated BoZ midpoint</t>
  </si>
  <si>
    <t xml:space="preserve">International marketing</t>
  </si>
  <si>
    <t xml:space="preserve">Charged in EUR</t>
  </si>
  <si>
    <t xml:space="preserve">Year 1 fixed site cost</t>
  </si>
  <si>
    <t xml:space="preserve">Local budget plus marketing</t>
  </si>
  <si>
    <t xml:space="preserve">Held outside site cost</t>
  </si>
  <si>
    <t xml:space="preserve">Capital, pre-opening and funding — new-build luxury tented and modular encampment under a proposed government land partnership</t>
  </si>
  <si>
    <t xml:space="preserve">No lodge conversion, no refurbishment, no land purchase and — in Revision 7 — no land rent or land deposit. Every allowance is an unquoted management estimate pending quantity surveying, tender, customs and site assessment.</t>
  </si>
  <si>
    <t xml:space="preserve">The Kwacha stress strengthens the local currency, so ZMW costs convert into MORE euros. The USD/EUR import cross rate is held unchanged.</t>
  </si>
  <si>
    <t xml:space="preserve">Capital overrun multiplier</t>
  </si>
  <si>
    <t xml:space="preserve">The capital overrun applies 20% to every base capital component including professional fees; escalation and the 25% contingency are then recomputed on the higher base rather than treated as free extra funding.</t>
  </si>
  <si>
    <t xml:space="preserve">Construction delay (months)</t>
  </si>
  <si>
    <t xml:space="preserve">The delay case adds six months of site holding cost and a further 3% capital escalation. No additional 25% contingency is charged on that delay increment.</t>
  </si>
  <si>
    <t xml:space="preserve">Suite platforms, foundations, decks, bathrooms and service connections (ZMW 12,000,000 — 600,000 per suite)</t>
  </si>
  <si>
    <t xml:space="preserve">Suite furniture, fittings and equipment, local (ZMW 4,000,000 — 200,000 per suite)</t>
  </si>
  <si>
    <t xml:space="preserve">Dining, kitchen, community, learning and wellness pavilions (ZMW 8,000,000)</t>
  </si>
  <si>
    <t xml:space="preserve">Staff, service, laundry and store buildings (ZMW 4,000,000)</t>
  </si>
  <si>
    <t xml:space="preserve">Site preparation, internal access, drainage and pathways (ZMW 3,000,000)</t>
  </si>
  <si>
    <t xml:space="preserve">Local water, sanitation, power and fire infrastructure (ZMW 5,000,000)</t>
  </si>
  <si>
    <t xml:space="preserve">Restoration earthworks, nursery and productive landscape (ZMW 1,000,000)</t>
  </si>
  <si>
    <t xml:space="preserve">Capital professional design, engineering, quantity surveying and environmental approvals (ZMW 3,000,000)</t>
  </si>
  <si>
    <t xml:space="preserve">Local construction subtotal (ZMW 40,000,000)</t>
  </si>
  <si>
    <t xml:space="preserve">Imported tent fabric and canvas, landed (USD 280,000)</t>
  </si>
  <si>
    <t xml:space="preserve">Landed allowances include freight, duties and non-recoverable charges. Indicative only — not a vendor quotation. Local lines include installation, so there is no double count.</t>
  </si>
  <si>
    <t xml:space="preserve">Imported durable frames, decking hardware and fixings, landed (USD 420,000)</t>
  </si>
  <si>
    <t xml:space="preserve">Imported specialist plant — solar, storage, backup water and kitchen, landed (USD 350,000)</t>
  </si>
  <si>
    <t xml:space="preserve">Imported subtotal, landed (USD 1,050,000)</t>
  </si>
  <si>
    <t xml:space="preserve">Base capital expenditure</t>
  </si>
  <si>
    <t xml:space="preserve">Procurement and construction escalation at 5%</t>
  </si>
  <si>
    <t xml:space="preserve">Construction contingency at 25% of base plus escalation, assumed fully spent</t>
  </si>
  <si>
    <t xml:space="preserve">Additional capital escalation from a six-month delay (3% of escalated base capital)</t>
  </si>
  <si>
    <t xml:space="preserve">Total funded capital</t>
  </si>
  <si>
    <t xml:space="preserve">Pre-opening expenses, local (ZMW 3,000,000)</t>
  </si>
  <si>
    <t xml:space="preserve">Government partnership assumption — no land rent across the 18-month development period (set to zero, shown for transparency)</t>
  </si>
  <si>
    <t xml:space="preserve">Pre-opening expenses, international (EUR 100,000)</t>
  </si>
  <si>
    <t xml:space="preserve">Pre-opening expense contingency at 20%</t>
  </si>
  <si>
    <t xml:space="preserve">Six-month delay holding cost — skeleton payroll, security and site care (ZMW 250,000 per month, no land rent)</t>
  </si>
  <si>
    <t xml:space="preserve">The delay case carries skeleton payroll, security and site care at ZMW 250,000 a month plus EUR 10,000 a month of international cost. No land rent is charged, consistent with the proposed government land partnership.</t>
  </si>
  <si>
    <t xml:space="preserve">Total pre-opening expenses (one-off, before opening)</t>
  </si>
  <si>
    <t xml:space="preserve">Government partnership assumption — no refundable land deposit (set to zero, shown for transparency)</t>
  </si>
  <si>
    <t xml:space="preserve">Total pre-opening use of funds</t>
  </si>
  <si>
    <t xml:space="preserve">Committed funding, base case (held fixed in every stress)</t>
  </si>
  <si>
    <t xml:space="preserve">Committed funding is held at the base case in every stress. Heavier pre-opening spend therefore consumes the opening reserve, and a negative balance is an unfunded gap.</t>
  </si>
  <si>
    <t xml:space="preserve">Opening cash reserve, base case</t>
  </si>
  <si>
    <t xml:space="preserve">Cash available at handover — negative is an UNFUNDED GAP, not available cash</t>
  </si>
  <si>
    <t xml:space="preserve">Additional committed liquidity required by the worst stress</t>
  </si>
  <si>
    <t xml:space="preserve">The worst case is the combined stress plus a six-month delay. Additional committed liquidity is the largest cash-floor breach across the seven stresses, rounded up to the nearest EUR 10,000, and recalculates automatically when costs, FX, capital or occupancy are edited. It is a disclosed reserve, not spent capital expenditure. There is no circular reference: the stress breach row does not depend on this reserve.</t>
  </si>
  <si>
    <t xml:space="preserve">Stress-covered committed funding envelope</t>
  </si>
  <si>
    <t xml:space="preserve">Delay capital allocation factor used for depreciation</t>
  </si>
  <si>
    <t xml:space="preserve">Base committed funding is EUR 4,619,551 and the prudential, stress-covered envelope is EUR 5,829,551. The base figure does NOT by itself cover the downside cases. Legal and land due diligence, community consultation, ecology, design, permits, insurance, ordinary taxes, staff and site care and restoration capex are all retained; only land rent and the land deposit are excluded.</t>
  </si>
  <si>
    <t xml:space="preserve">No debt terms, interest or facility are assumed or secured. Loan interest, land purchase and any major off-site highway or grid extension are excluded; a site needing them would require a rescope. These stresses are not exhaustive.</t>
  </si>
  <si>
    <t xml:space="preserve">Regional research candidates — planning capacities and schedules (not permits or measured demand)</t>
  </si>
  <si>
    <t xml:space="preserve">No.</t>
  </si>
  <si>
    <t xml:space="preserve">Region</t>
  </si>
  <si>
    <t xml:space="preserve">Open weeks</t>
  </si>
  <si>
    <t xml:space="preserve">Suite-weeks</t>
  </si>
  <si>
    <t xml:space="preserve">Cost preset</t>
  </si>
  <si>
    <t xml:space="preserve">Algarve / Ria Formosa</t>
  </si>
  <si>
    <t xml:space="preserve">Shared EUR book</t>
  </si>
  <si>
    <t xml:space="preserve">Cabo de Gata coast</t>
  </si>
  <si>
    <t xml:space="preserve">Granada / Los Velez interior</t>
  </si>
  <si>
    <t xml:space="preserve">Val Susa / Alpine foothills</t>
  </si>
  <si>
    <t xml:space="preserve">Livingstone / Zambia</t>
  </si>
  <si>
    <t xml:space="preserve">ZMW local build</t>
  </si>
  <si>
    <t xml:space="preserve">NamibRand / Namibia</t>
  </si>
  <si>
    <t xml:space="preserve">Pardamat / Mara</t>
  </si>
  <si>
    <t xml:space="preserve">Baviaanskloof</t>
  </si>
  <si>
    <t xml:space="preserve">Wadi Rum</t>
  </si>
  <si>
    <t xml:space="preserve">Jabal Akhdar</t>
  </si>
  <si>
    <t xml:space="preserve">Daintree</t>
  </si>
  <si>
    <t xml:space="preserve">Kangaroo Island</t>
  </si>
  <si>
    <t xml:space="preserve">Xingu / Querencia</t>
  </si>
  <si>
    <t xml:space="preserve">Tambopata</t>
  </si>
  <si>
    <t xml:space="preserve">Row 5 (Livingstone / Zambia) is the selected first-location model: 20 suites, 40 planned bookable weeks, 800 suite-weeks, Mar-Dec.</t>
  </si>
  <si>
    <t xml:space="preserve">The Kwacha cost build applies to Zambia only. The other rows retain the shared euro screening book and must not be ranked against Zambia on returns.</t>
  </si>
  <si>
    <t xml:space="preserve">Sources, dates and confidence — Revision 7</t>
  </si>
  <si>
    <t xml:space="preserve">Item</t>
  </si>
  <si>
    <t xml:space="preserve">Date</t>
  </si>
  <si>
    <t xml:space="preserve">Source</t>
  </si>
  <si>
    <t xml:space="preserve">Status</t>
  </si>
  <si>
    <t xml:space="preserve">Bank of Zambia average exchange rates</t>
  </si>
  <si>
    <t xml:space="preserve">https://www.boz.zm/markets-securities/average-exchange-rates</t>
  </si>
  <si>
    <t xml:space="preserve">Sourced fact; midpoints derived</t>
  </si>
  <si>
    <t xml:space="preserve">ZRA corporate income tax and VAT</t>
  </si>
  <si>
    <t xml:space="preserve">https://www.zra.org.zm/tax-information/</t>
  </si>
  <si>
    <t xml:space="preserve">Sourced fact; 30% and 16% standard rates</t>
  </si>
  <si>
    <t xml:space="preserve">ZRA tourism levy</t>
  </si>
  <si>
    <t xml:space="preserve">https://www.zra.org.zm/wp-content/uploads/2021/10/Tourism-Levy.pdf</t>
  </si>
  <si>
    <t xml:space="preserve">Sourced fact; 1.5% on qualifying components</t>
  </si>
  <si>
    <t xml:space="preserve">NAPSA employer contributions</t>
  </si>
  <si>
    <t xml:space="preserve">https://www.napsa.co.zm/service/contributions/</t>
  </si>
  <si>
    <t xml:space="preserve">Sourced fact; 5% with applicable ceiling</t>
  </si>
  <si>
    <t xml:space="preserve">Livingstone visitor context</t>
  </si>
  <si>
    <t xml:space="preserve">https://www.zambiatourism.com/towns/livingstone/</t>
  </si>
  <si>
    <t xml:space="preserve">Context only</t>
  </si>
  <si>
    <t xml:space="preserve">Zambia general travel information</t>
  </si>
  <si>
    <t xml:space="preserve">https://www.zambiatourism.com/travel-info/general-info/</t>
  </si>
  <si>
    <t xml:space="preserve">Mosi-oa-Tunya / Victoria Falls listing</t>
  </si>
  <si>
    <t xml:space="preserve">https://whc.unesco.org/en/list/509</t>
  </si>
  <si>
    <t xml:space="preserve">Local construction, payroll and equipment allowances (no land rent line)</t>
  </si>
  <si>
    <t xml:space="preserve">Management estimate</t>
  </si>
  <si>
    <t xml:space="preserve">UNQUOTED management estimate pending quantity surveying, tender and site assessment</t>
  </si>
  <si>
    <t xml:space="preserve">40 bookable weeks, March to December</t>
  </si>
  <si>
    <t xml:space="preserve">Management planning choice</t>
  </si>
  <si>
    <t xml:space="preserve">UNQUOTED assumption</t>
  </si>
  <si>
    <t xml:space="preserve">Price ladder, occupancy ramp and escalation</t>
  </si>
  <si>
    <t xml:space="preserve">Management planning input</t>
  </si>
  <si>
    <t xml:space="preserve">Bushtec Safari 2025 manufacturer price list</t>
  </si>
  <si>
    <t xml:space="preserve">2026-09-12</t>
  </si>
  <si>
    <t xml:space="preserve">https://bushtecsafari.com/wp-content/uploads/2025/09/USA-_-Pricelist.pdf</t>
  </si>
  <si>
    <t xml:space="preserve">Context only; illustrates factory tent pricing, NOT our build budget</t>
  </si>
  <si>
    <t xml:space="preserve">Zambia Environmental Management Agency</t>
  </si>
  <si>
    <t xml:space="preserve">https://www.zema.org.zm/</t>
  </si>
  <si>
    <t xml:space="preserve">Assessment and permitting diligence reference</t>
  </si>
  <si>
    <t xml:space="preserve">Revision 7, 12 September 2026. Livingstone, Zambia is the selected first-location scenario, built as a NEW 20-suite luxury tented and modular encampment under a proposed long-term government land partnership. No parcel, land-use agreement, acreage, build permit, operator, partner, community agreement or paid guest is confirmed.</t>
  </si>
  <si>
    <t xml:space="preserve">This is an unquoted feasibility budget, NOT supplier quotations, NOT quantity-surveyor certification and NOT a promised margin.</t>
  </si>
  <si>
    <t xml:space="preserve">Local cost and FX estimates are dated and unquoted. FX midpoints are derived from published buying and selling rates and are not guaranteed transaction rates.</t>
  </si>
  <si>
    <t xml:space="preserve">Prices are NET operating revenue. VAT at 16% and the 1.5% tourism levy are charged separately to guests and are pass-through, not revenue. Levy qualification, base and capex VAT recovery need adviser validation.</t>
  </si>
  <si>
    <t xml:space="preserve">The 30% corporate income tax is applied to positive accounting profit as a transparent planning proxy. No loss carry-forward, incentives or local capital allowances are assumed.</t>
  </si>
  <si>
    <t xml:space="preserve">Tax paid evenly through the year in the cash model is a planning timing convention, not the statutory payment calendar.</t>
  </si>
  <si>
    <t xml:space="preserve">The capital overrun, combined and delay-combined stresses breach the EUR 300,000 cash floor. EUR 1,210,000 of additional committed liquidity is disclosed, giving a stress-covered envelope of EUR 5,829,551 against base committed funding of EUR 4,619,551. No facility is secured, no debt terms or interest are assumed, and the seven cases are not exhaustive.</t>
  </si>
  <si>
    <t xml:space="preserve">No revenue from grants, memberships, licensing, debt, terminal value, land-use concessions or in-kind land value. Capital recovery here means cumulative operating free cash exceeding total capital and pre-opening use of EUR 3,819,551, which the conservative case first reaches in operating month 53 / project month 71, inside operating Year 5. Base committed funding of EUR 4,619,551 is first exceeded in operating month 58 / project month 76. The EUR 5,829,551 stress-covered envelope is NOT recovered within five operating years (five-year cumulative operating free cash EUR 5,103,993). Cost allowances assume no VAT recovery benefit: no refund, credit or construction-tax funding benefit is assumed, budgeted or secured, and site and contract tax treatment plus any tax-payment timing bridge require adviser validation.</t>
  </si>
  <si>
    <t xml:space="preserve">The Bushtec list price of USD 21,700 for a 47.5 square metre Java tent excludes shipping, duty and installation. It is quoted only to show why factory tent prices are not a turnkey camp budget.</t>
  </si>
  <si>
    <t xml:space="preserve">Revision 5 funding of EUR 1.95 million and capital expenditure of EUR 766,000 related to a leased existing-lodge conversion and are superseded in full.</t>
  </si>
  <si>
    <t xml:space="preserve">Zambia Ministry of Tourism — partnership and conservation context</t>
  </si>
  <si>
    <t xml:space="preserve">https://www.mot.gov.zm/?p=5105</t>
  </si>
  <si>
    <t xml:space="preserve">Context only. Supports partnership-based conservation policy; NOT an offer of rent-free land to Eden</t>
  </si>
  <si>
    <t xml:space="preserve">Department of National Parks and Wildlife (DNPW) mandate</t>
  </si>
  <si>
    <t xml:space="preserve">https://www.mot.gov.zm/dnpw/?page_id=94</t>
  </si>
  <si>
    <t xml:space="preserve">Context only. Public-authority mandate context; no application, concession or agreement exists</t>
  </si>
  <si>
    <t xml:space="preserve">Land use — Revision 7 assumption</t>
  </si>
  <si>
    <t xml:space="preserve">Management assumption</t>
  </si>
  <si>
    <t xml:space="preserve">Proposed long-term government land partnership: land use authorised in exchange for regeneration, community benefit and enduring protection of a defined acreage. Zero land rent and zero land deposit modelled. NOT a secured grant, title, concession, tax exemption, statutory reserve designation or guaranteed rent waiver</t>
  </si>
  <si>
    <t xml:space="preserve">Asset register and depreciation — new-build encampment</t>
  </si>
  <si>
    <t xml:space="preserve">Capital professional fees are allocated pro rata across the other direct capital lines. Escalation, contingency and any delay increment are applied proportionately. Nothing is depreciated on pre-opening expenses, the refundable deposit, cash or land.</t>
  </si>
  <si>
    <t xml:space="preserve">Asset</t>
  </si>
  <si>
    <t xml:space="preserve">Life (years)</t>
  </si>
  <si>
    <t xml:space="preserve">Professional fee allocation gross-up factor</t>
  </si>
  <si>
    <t xml:space="preserve">Suite platforms, foundations, decks and bathrooms</t>
  </si>
  <si>
    <t xml:space="preserve">Dining, kitchen, community, learning and wellness pavilions</t>
  </si>
  <si>
    <t xml:space="preserve">Staff, service, laundry and store buildings</t>
  </si>
  <si>
    <t xml:space="preserve">Site preparation, internal access, drainage and pathways</t>
  </si>
  <si>
    <t xml:space="preserve">Suite furniture, fittings and equipment, local</t>
  </si>
  <si>
    <t xml:space="preserve">Local water, sanitation, power and fire infrastructure</t>
  </si>
  <si>
    <t xml:space="preserve">Restoration earthworks, nursery and productive landscape</t>
  </si>
  <si>
    <t xml:space="preserve">Imported tent fabric and canvas</t>
  </si>
  <si>
    <t xml:space="preserve">USD</t>
  </si>
  <si>
    <t xml:space="preserve">Imported durable frames, decking hardware and fixings</t>
  </si>
  <si>
    <t xml:space="preserve">Imported specialist plant — solar, storage, water and kitchen</t>
  </si>
  <si>
    <t xml:space="preserve">Initial annual depreciation</t>
  </si>
  <si>
    <t xml:space="preserve">Tent fabric has a five-year life, the shortest asset here. Because the annual models read the life-capped schedule below, shortening any life to less than five years reduces that asset's charge in its final year and stops it afterwards, rather than depreciating past zero book value.</t>
  </si>
  <si>
    <t xml:space="preserve">Initial assets are ready at handover, so a full year of depreciation is charged in operating Year 1. Replacement capital expenditure of 3% of revenue is depreciated over five years using a half-year convention in the year it is spent.</t>
  </si>
  <si>
    <t xml:space="preserve">Statutory capital allowances are not modelled. The 30% tax charge is a transparent planning proxy applied to EBITDA less depreciation.</t>
  </si>
  <si>
    <t xml:space="preserve">Life-capped depreciation by operating year — each asset's annual charge stops when its editable life is exhausted, including a fractional final year, so a life shortened below five years can never be over-depreciated</t>
  </si>
  <si>
    <t xml:space="preserve">Operating year 1 depreciation on initial assets</t>
  </si>
  <si>
    <t xml:space="preserve">Operating year 2 depreciation on initial assets</t>
  </si>
  <si>
    <t xml:space="preserve">Operating year 3 depreciation on initial assets</t>
  </si>
  <si>
    <t xml:space="preserve">Operating year 4 depreciation on initial assets</t>
  </si>
  <si>
    <t xml:space="preserve">Operating year 5 depreciation on initial assets</t>
  </si>
  <si>
    <t xml:space="preserve">Row 18 shows the initial annual charge at full lives. Rows 25 to 29 are the charges actually used by the annual models, so editing a life on this sheet flows through correctly. With the current lives (minimum five years) every operating year carries the full charge and the reported outputs are unchanged.</t>
  </si>
  <si>
    <t xml:space="preserve">Development draw schedule — 18-month pre-opening programme</t>
  </si>
  <si>
    <t xml:space="preserve">Months 1-3 design, ecology and tenure. Months 4-6 site works and procurement. Months 7-12 utilities and build. Months 13-15 fit-out. Months 16-18 commissioning and training. The actual programme depends on permits, weather and suppliers, and no raise is secured.</t>
  </si>
  <si>
    <t xml:space="preserve">Month</t>
  </si>
  <si>
    <t xml:space="preserve">Total</t>
  </si>
  <si>
    <t xml:space="preserve">Phase</t>
  </si>
  <si>
    <t xml:space="preserve">Design, ecology, tenure</t>
  </si>
  <si>
    <t xml:space="preserve">Site works, procurement</t>
  </si>
  <si>
    <t xml:space="preserve">Utilities and build</t>
  </si>
  <si>
    <t xml:space="preserve">Fit-out</t>
  </si>
  <si>
    <t xml:space="preserve">Commissioning, training</t>
  </si>
  <si>
    <t xml:space="preserve">Capital draw weight</t>
  </si>
  <si>
    <t xml:space="preserve">Capital draw (EUR)</t>
  </si>
  <si>
    <t xml:space="preserve">Pre-opening expense weight</t>
  </si>
  <si>
    <t xml:space="preserve">Pre-opening expense before contingency (EUR)</t>
  </si>
  <si>
    <t xml:space="preserve">Government partnership assumption — no land rent during development (set to zero, shown for transparency)</t>
  </si>
  <si>
    <t xml:space="preserve">Expense contingency at 20%</t>
  </si>
  <si>
    <t xml:space="preserve">Government partnership assumption — no refundable land deposit</t>
  </si>
  <si>
    <t xml:space="preserve">Total monthly use of funds</t>
  </si>
  <si>
    <t xml:space="preserve">Funding drawn (available from month 1)</t>
  </si>
  <si>
    <t xml:space="preserve">Cash balance during development</t>
  </si>
  <si>
    <t xml:space="preserve">Cash at handover, end of month 18</t>
  </si>
  <si>
    <t xml:space="preserve">Opening cash reserve target</t>
  </si>
  <si>
    <t xml:space="preserve">Check — handover cash equals the opening reserve</t>
  </si>
  <si>
    <t xml:space="preserve">There is no guest revenue during construction, and no bookings are taken before handover. Pre-opening expenses are one-off items shown here; they do not repeat in the operating years. The 40 bookable weeks describe a full operating year, not a construction year.</t>
  </si>
  <si>
    <t xml:space="preserve">Funding is shown as available from month 1 for cash-modelling purposes only. No raise is secured, and no interest or debt terms are assumed.</t>
  </si>
</sst>
</file>

<file path=xl/styles.xml><?xml version="1.0" encoding="utf-8"?>
<styleSheet xmlns="http://schemas.openxmlformats.org/spreadsheetml/2006/main">
  <numFmts count="19">
    <numFmt numFmtId="164" formatCode="General"/>
    <numFmt numFmtId="165" formatCode="0&quot; paid suite-weeks&quot;"/>
    <numFmt numFmtId="166" formatCode="0&quot; operating months&quot;"/>
    <numFmt numFmtId="167" formatCode="\€#,##0.00;&quot;(€&quot;#,##0.00\);\–"/>
    <numFmt numFmtId="168" formatCode="0.000"/>
    <numFmt numFmtId="169" formatCode="0.00%"/>
    <numFmt numFmtId="170" formatCode="0.0%"/>
    <numFmt numFmtId="171" formatCode="0"/>
    <numFmt numFmtId="172" formatCode="\€#,##0;&quot;(€&quot;#,##0\);\–"/>
    <numFmt numFmtId="173" formatCode="#,##0"/>
    <numFmt numFmtId="174" formatCode="\€#,##0;&quot;(€&quot;#,##0\);\-"/>
    <numFmt numFmtId="175" formatCode="0.00%;\(0.00%\);\-"/>
    <numFmt numFmtId="176" formatCode="0.0%;\(0.0%\);\-"/>
    <numFmt numFmtId="177" formatCode="#,##0;\(#,##0\);\-"/>
    <numFmt numFmtId="178" formatCode="\€#,##0.00;&quot;(€&quot;#,##0.00\);\-"/>
    <numFmt numFmtId="179" formatCode="0.00"/>
    <numFmt numFmtId="180" formatCode="0.0000"/>
    <numFmt numFmtId="181" formatCode="\$#,##0;&quot;($&quot;#,##0\);\-"/>
    <numFmt numFmtId="182" formatCode="0.00000"/>
  </numFmts>
  <fonts count="32">
    <font>
      <sz val="11"/>
      <color theme="1"/>
      <name val="Calibri"/>
      <family val="2"/>
      <charset val="1"/>
    </font>
    <font>
      <sz val="10"/>
      <name val="Arial"/>
      <family val="0"/>
    </font>
    <font>
      <sz val="10"/>
      <name val="Arial"/>
      <family val="0"/>
    </font>
    <font>
      <sz val="10"/>
      <name val="Arial"/>
      <family val="0"/>
    </font>
    <font>
      <b val="true"/>
      <sz val="24"/>
      <color rgb="FFF0EBDD"/>
      <name val="Arial"/>
      <family val="0"/>
      <charset val="1"/>
    </font>
    <font>
      <sz val="10"/>
      <color rgb="FF9B948A"/>
      <name val="Arial"/>
      <family val="0"/>
      <charset val="1"/>
    </font>
    <font>
      <b val="true"/>
      <sz val="9"/>
      <color rgb="FFB68A58"/>
      <name val="Arial"/>
      <family val="0"/>
      <charset val="1"/>
    </font>
    <font>
      <b val="true"/>
      <sz val="26"/>
      <color rgb="FFF0EBDD"/>
      <name val="Arial"/>
      <family val="0"/>
      <charset val="1"/>
    </font>
    <font>
      <sz val="10"/>
      <color rgb="FF3D3A34"/>
      <name val="Arial"/>
      <family val="0"/>
      <charset val="1"/>
    </font>
    <font>
      <b val="true"/>
      <sz val="11"/>
      <color rgb="FFB68A58"/>
      <name val="Arial"/>
      <family val="0"/>
      <charset val="1"/>
    </font>
    <font>
      <sz val="11"/>
      <color rgb="FF232321"/>
      <name val="Calibri"/>
      <family val="0"/>
      <charset val="1"/>
    </font>
    <font>
      <b val="true"/>
      <sz val="11"/>
      <color rgb="FF232321"/>
      <name val="Calibri"/>
      <family val="0"/>
      <charset val="1"/>
    </font>
    <font>
      <sz val="9"/>
      <color rgb="FF232321"/>
      <name val="Arial"/>
      <family val="0"/>
      <charset val="1"/>
    </font>
    <font>
      <b val="true"/>
      <sz val="10"/>
      <color rgb="FF232321"/>
      <name val="Arial"/>
      <family val="0"/>
      <charset val="1"/>
    </font>
    <font>
      <b val="true"/>
      <sz val="9"/>
      <color rgb="FF3D3A34"/>
      <name val="Arial"/>
      <family val="0"/>
      <charset val="1"/>
    </font>
    <font>
      <sz val="10"/>
      <color rgb="FF232321"/>
      <name val="Calibri"/>
      <family val="0"/>
      <charset val="1"/>
    </font>
    <font>
      <sz val="10"/>
      <color rgb="FF232321"/>
      <name val="Arial"/>
      <family val="0"/>
      <charset val="1"/>
    </font>
    <font>
      <b val="true"/>
      <sz val="10"/>
      <color rgb="FF232321"/>
      <name val="Calibri"/>
      <family val="0"/>
      <charset val="1"/>
    </font>
    <font>
      <i val="true"/>
      <sz val="9"/>
      <color rgb="FF3D3A34"/>
      <name val="Arial"/>
      <family val="0"/>
      <charset val="1"/>
    </font>
    <font>
      <sz val="9"/>
      <color rgb="FF3D3A34"/>
      <name val="Arial"/>
      <family val="0"/>
      <charset val="1"/>
    </font>
    <font>
      <b val="true"/>
      <sz val="18"/>
      <color rgb="FF000000"/>
      <name val="Calibri"/>
      <family val="2"/>
    </font>
    <font>
      <sz val="10"/>
      <color rgb="FF000000"/>
      <name val="Calibri"/>
      <family val="2"/>
    </font>
    <font>
      <b val="true"/>
      <sz val="10"/>
      <color rgb="FF000000"/>
      <name val="Calibri"/>
      <family val="2"/>
    </font>
    <font>
      <b val="true"/>
      <sz val="11"/>
      <color rgb="FF000000"/>
      <name val="Arial"/>
      <family val="0"/>
      <charset val="1"/>
    </font>
    <font>
      <sz val="10"/>
      <color rgb="FF000000"/>
      <name val="Arial"/>
      <family val="0"/>
      <charset val="1"/>
    </font>
    <font>
      <sz val="10"/>
      <color rgb="FF008000"/>
      <name val="Arial"/>
      <family val="0"/>
      <charset val="1"/>
    </font>
    <font>
      <i val="true"/>
      <sz val="9"/>
      <color rgb="FF404040"/>
      <name val="Arial"/>
      <family val="0"/>
      <charset val="1"/>
    </font>
    <font>
      <sz val="10"/>
      <color rgb="FF0000FF"/>
      <name val="Arial"/>
      <family val="0"/>
      <charset val="1"/>
    </font>
    <font>
      <b val="true"/>
      <sz val="10"/>
      <name val="Arial"/>
      <family val="0"/>
      <charset val="1"/>
    </font>
    <font>
      <sz val="10"/>
      <name val="Arial"/>
      <family val="0"/>
      <charset val="1"/>
    </font>
    <font>
      <i val="true"/>
      <sz val="9"/>
      <color rgb="FF595959"/>
      <name val="Arial"/>
      <family val="0"/>
      <charset val="1"/>
    </font>
    <font>
      <b val="true"/>
      <sz val="13"/>
      <name val="Arial"/>
      <family val="0"/>
      <charset val="1"/>
    </font>
  </fonts>
  <fills count="4">
    <fill>
      <patternFill patternType="none"/>
    </fill>
    <fill>
      <patternFill patternType="gray125"/>
    </fill>
    <fill>
      <patternFill patternType="solid">
        <fgColor rgb="FF232321"/>
        <bgColor rgb="FF3D3A34"/>
      </patternFill>
    </fill>
    <fill>
      <patternFill patternType="solid">
        <fgColor rgb="FFFFFF00"/>
        <bgColor rgb="FFFFFF00"/>
      </patternFill>
    </fill>
  </fills>
  <borders count="2">
    <border diagonalUp="false" diagonalDown="false">
      <left/>
      <right/>
      <top/>
      <bottom/>
      <diagonal/>
    </border>
    <border diagonalUp="false" diagonalDown="false">
      <left/>
      <right/>
      <top/>
      <bottom style="thin">
        <color rgb="FF4A474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2" borderId="0" xfId="0" applyFont="true" applyBorder="true" applyAlignment="true" applyProtection="false">
      <alignment horizontal="general" vertical="center" textRotation="0" wrapText="true" indent="0" shrinkToFit="false"/>
      <protection locked="true" hidden="false"/>
    </xf>
    <xf numFmtId="164" fontId="6" fillId="2" borderId="0" xfId="0" applyFont="true" applyBorder="true" applyAlignment="true" applyProtection="false">
      <alignment horizontal="left" vertical="center" textRotation="0" wrapText="true" indent="0" shrinkToFit="false"/>
      <protection locked="true" hidden="false"/>
    </xf>
    <xf numFmtId="165" fontId="7" fillId="2" borderId="0" xfId="0" applyFont="true" applyBorder="true" applyAlignment="true" applyProtection="false">
      <alignment horizontal="left" vertical="center" textRotation="0" wrapText="true" indent="0" shrinkToFit="false"/>
      <protection locked="true" hidden="false"/>
    </xf>
    <xf numFmtId="166" fontId="7" fillId="2" borderId="0"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false" applyBorder="true" applyAlignment="true" applyProtection="false">
      <alignment horizontal="general" vertical="center" textRotation="0" wrapText="false" indent="0" shrinkToFit="false"/>
      <protection locked="true" hidden="false"/>
    </xf>
    <xf numFmtId="164" fontId="10" fillId="0" borderId="1" xfId="0" applyFont="true" applyBorder="true" applyAlignment="true" applyProtection="false">
      <alignment horizontal="general" vertical="center" textRotation="0" wrapText="false" indent="0" shrinkToFit="false"/>
      <protection locked="true" hidden="false"/>
    </xf>
    <xf numFmtId="167" fontId="11" fillId="0" borderId="1" xfId="0" applyFont="true" applyBorder="true" applyAlignment="true" applyProtection="false">
      <alignment horizontal="general" vertical="center" textRotation="0" wrapText="false" indent="0" shrinkToFit="false"/>
      <protection locked="true" hidden="false"/>
    </xf>
    <xf numFmtId="164" fontId="12" fillId="0" borderId="1" xfId="0" applyFont="true" applyBorder="true" applyAlignment="true" applyProtection="false">
      <alignment horizontal="left" vertical="center" textRotation="0" wrapText="true" indent="0" shrinkToFit="false"/>
      <protection locked="true" hidden="false"/>
    </xf>
    <xf numFmtId="167" fontId="13" fillId="0" borderId="1" xfId="0" applyFont="true" applyBorder="true" applyAlignment="true" applyProtection="false">
      <alignment horizontal="right" vertical="center" textRotation="0" wrapText="false" indent="0" shrinkToFit="false"/>
      <protection locked="true" hidden="false"/>
    </xf>
    <xf numFmtId="164" fontId="14" fillId="0" borderId="1" xfId="0" applyFont="true" applyBorder="true" applyAlignment="true" applyProtection="false">
      <alignment horizontal="general" vertical="center" textRotation="0" wrapText="true" indent="0" shrinkToFit="false"/>
      <protection locked="true" hidden="false"/>
    </xf>
    <xf numFmtId="164" fontId="14" fillId="0" borderId="1" xfId="0" applyFont="true" applyBorder="true" applyAlignment="true" applyProtection="false">
      <alignment horizontal="general" vertical="bottom" textRotation="0" wrapText="true" indent="0" shrinkToFit="false"/>
      <protection locked="true" hidden="false"/>
    </xf>
    <xf numFmtId="168" fontId="0" fillId="0" borderId="1" xfId="0" applyFont="false" applyBorder="true" applyAlignment="true" applyProtection="false">
      <alignment horizontal="general" vertical="center" textRotation="0" wrapText="false" indent="0" shrinkToFit="false"/>
      <protection locked="true" hidden="false"/>
    </xf>
    <xf numFmtId="169" fontId="0" fillId="0" borderId="1" xfId="0" applyFont="false" applyBorder="true" applyAlignment="true" applyProtection="false">
      <alignment horizontal="general" vertical="center" textRotation="0" wrapText="false" indent="0" shrinkToFit="false"/>
      <protection locked="true" hidden="false"/>
    </xf>
    <xf numFmtId="167" fontId="0" fillId="0" borderId="1" xfId="0" applyFont="false" applyBorder="true" applyAlignment="true" applyProtection="false">
      <alignment horizontal="general" vertical="center" textRotation="0" wrapText="false" indent="0" shrinkToFit="false"/>
      <protection locked="true" hidden="false"/>
    </xf>
    <xf numFmtId="170" fontId="11" fillId="0" borderId="1" xfId="0" applyFont="true" applyBorder="true" applyAlignment="true" applyProtection="false">
      <alignment horizontal="general" vertical="center" textRotation="0" wrapText="false" indent="0" shrinkToFit="false"/>
      <protection locked="true" hidden="false"/>
    </xf>
    <xf numFmtId="168" fontId="13" fillId="0" borderId="1" xfId="0" applyFont="true" applyBorder="true" applyAlignment="true" applyProtection="false">
      <alignment horizontal="right" vertical="center" textRotation="0" wrapText="false" indent="0" shrinkToFit="false"/>
      <protection locked="true" hidden="false"/>
    </xf>
    <xf numFmtId="171" fontId="13" fillId="0" borderId="1" xfId="0" applyFont="true" applyBorder="true" applyAlignment="true" applyProtection="false">
      <alignment horizontal="right" vertical="center" textRotation="0" wrapText="false" indent="0" shrinkToFit="false"/>
      <protection locked="true" hidden="false"/>
    </xf>
    <xf numFmtId="172" fontId="13" fillId="0" borderId="1" xfId="0" applyFont="true" applyBorder="true" applyAlignment="true" applyProtection="false">
      <alignment horizontal="right" vertical="center" textRotation="0" wrapText="false" indent="0" shrinkToFit="false"/>
      <protection locked="true" hidden="false"/>
    </xf>
    <xf numFmtId="164" fontId="0" fillId="0" borderId="1" xfId="0" applyFont="true" applyBorder="true" applyAlignment="true" applyProtection="false">
      <alignment horizontal="left" vertical="center" textRotation="0" wrapText="true" indent="0" shrinkToFit="false"/>
      <protection locked="true" hidden="false"/>
    </xf>
    <xf numFmtId="168" fontId="0" fillId="0" borderId="1" xfId="0" applyFont="false" applyBorder="true" applyAlignment="true" applyProtection="false">
      <alignment horizontal="right"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71" fontId="11" fillId="0" borderId="1" xfId="0" applyFont="true" applyBorder="true" applyAlignment="true" applyProtection="false">
      <alignment horizontal="general" vertical="center" textRotation="0" wrapText="false" indent="0" shrinkToFit="false"/>
      <protection locked="true" hidden="false"/>
    </xf>
    <xf numFmtId="164" fontId="13" fillId="0" borderId="1" xfId="0" applyFont="true" applyBorder="true" applyAlignment="true" applyProtection="false">
      <alignment horizontal="general" vertical="center" textRotation="0" wrapText="false" indent="0" shrinkToFit="false"/>
      <protection locked="true" hidden="false"/>
    </xf>
    <xf numFmtId="167" fontId="15" fillId="0" borderId="1" xfId="0" applyFont="true" applyBorder="true" applyAlignment="true" applyProtection="false">
      <alignment horizontal="general" vertical="center" textRotation="0" wrapText="fals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7" fontId="17" fillId="0" borderId="1" xfId="0" applyFont="true" applyBorder="true" applyAlignment="true" applyProtection="false">
      <alignment horizontal="general"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72" fontId="0" fillId="0" borderId="1" xfId="0" applyFont="false" applyBorder="true" applyAlignment="true" applyProtection="false">
      <alignment horizontal="general" vertical="top" textRotation="0" wrapText="true" indent="0" shrinkToFit="false"/>
      <protection locked="true" hidden="false"/>
    </xf>
    <xf numFmtId="172" fontId="0" fillId="0" borderId="1" xfId="0" applyFont="false" applyBorder="true" applyAlignment="true" applyProtection="false">
      <alignment horizontal="general" vertical="center" textRotation="0" wrapText="false" indent="0" shrinkToFit="false"/>
      <protection locked="true" hidden="false"/>
    </xf>
    <xf numFmtId="164" fontId="18" fillId="0" borderId="0" xfId="0" applyFont="true" applyBorder="true" applyAlignment="true" applyProtection="false">
      <alignment horizontal="general" vertical="center" textRotation="0" wrapText="true" indent="0" shrinkToFit="false"/>
      <protection locked="true" hidden="false"/>
    </xf>
    <xf numFmtId="164" fontId="19" fillId="0" borderId="0" xfId="0" applyFont="true" applyBorder="true" applyAlignment="true" applyProtection="false">
      <alignment horizontal="left" vertical="center" textRotation="0" wrapText="true" indent="0" shrinkToFit="false"/>
      <protection locked="true" hidden="false"/>
    </xf>
    <xf numFmtId="164" fontId="23" fillId="0" borderId="0" xfId="0" applyFont="true" applyBorder="fals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bottom" textRotation="0" wrapText="false" indent="0" shrinkToFit="false"/>
      <protection locked="true" hidden="false"/>
    </xf>
    <xf numFmtId="174" fontId="25" fillId="0" borderId="0" xfId="0" applyFont="true" applyBorder="false" applyAlignment="true" applyProtection="false">
      <alignment horizontal="general" vertical="bottom" textRotation="0" wrapText="false" indent="0" shrinkToFit="false"/>
      <protection locked="true" hidden="false"/>
    </xf>
    <xf numFmtId="164" fontId="26" fillId="0" borderId="0" xfId="0" applyFont="true" applyBorder="false" applyAlignment="true" applyProtection="false">
      <alignment horizontal="general" vertical="bottom" textRotation="0" wrapText="false" indent="0" shrinkToFit="false"/>
      <protection locked="true" hidden="false"/>
    </xf>
    <xf numFmtId="175" fontId="25" fillId="0" borderId="0" xfId="0" applyFont="true" applyBorder="false" applyAlignment="true" applyProtection="false">
      <alignment horizontal="general" vertical="bottom" textRotation="0" wrapText="false" indent="0" shrinkToFit="false"/>
      <protection locked="true" hidden="false"/>
    </xf>
    <xf numFmtId="176" fontId="24" fillId="0" borderId="0" xfId="0" applyFont="true" applyBorder="false" applyAlignment="true" applyProtection="false">
      <alignment horizontal="general" vertical="bottom" textRotation="0" wrapText="false" indent="0" shrinkToFit="false"/>
      <protection locked="true" hidden="false"/>
    </xf>
    <xf numFmtId="174" fontId="24" fillId="0" borderId="0" xfId="0" applyFont="true" applyBorder="false" applyAlignment="true" applyProtection="false">
      <alignment horizontal="general" vertical="bottom" textRotation="0" wrapText="false" indent="0" shrinkToFit="false"/>
      <protection locked="true" hidden="false"/>
    </xf>
    <xf numFmtId="177" fontId="24" fillId="0" borderId="0" xfId="0" applyFont="true" applyBorder="false" applyAlignment="true" applyProtection="false">
      <alignment horizontal="general" vertical="bottom" textRotation="0" wrapText="false" indent="0" shrinkToFit="false"/>
      <protection locked="true" hidden="false"/>
    </xf>
    <xf numFmtId="178" fontId="24" fillId="0" borderId="0" xfId="0" applyFont="true" applyBorder="false" applyAlignment="true" applyProtection="false">
      <alignment horizontal="general" vertical="bottom" textRotation="0" wrapText="false" indent="0" shrinkToFit="false"/>
      <protection locked="true" hidden="false"/>
    </xf>
    <xf numFmtId="175" fontId="24" fillId="0" borderId="0" xfId="0" applyFont="true" applyBorder="false" applyAlignment="true" applyProtection="false">
      <alignment horizontal="general" vertical="bottom" textRotation="0" wrapText="false" indent="0" shrinkToFit="false"/>
      <protection locked="true" hidden="false"/>
    </xf>
    <xf numFmtId="164" fontId="24" fillId="0" borderId="0" xfId="0" applyFont="true" applyBorder="false" applyAlignment="true" applyProtection="false">
      <alignment horizontal="general" vertical="center" textRotation="0" wrapText="true" indent="0" shrinkToFit="false"/>
      <protection locked="true" hidden="false"/>
    </xf>
    <xf numFmtId="169" fontId="24" fillId="0" borderId="0" xfId="0" applyFont="true" applyBorder="false" applyAlignment="true" applyProtection="false">
      <alignment horizontal="general" vertical="bottom" textRotation="0" wrapText="false" indent="0" shrinkToFit="false"/>
      <protection locked="true" hidden="false"/>
    </xf>
    <xf numFmtId="167" fontId="24" fillId="0" borderId="0" xfId="0" applyFont="true" applyBorder="false" applyAlignment="true" applyProtection="false">
      <alignment horizontal="general" vertical="bottom" textRotation="0" wrapText="false" indent="0" shrinkToFit="false"/>
      <protection locked="true" hidden="false"/>
    </xf>
    <xf numFmtId="179" fontId="27" fillId="0" borderId="0" xfId="0" applyFont="true" applyBorder="false" applyAlignment="true" applyProtection="false">
      <alignment horizontal="general" vertical="bottom" textRotation="0" wrapText="false" indent="0" shrinkToFit="false"/>
      <protection locked="true" hidden="false"/>
    </xf>
    <xf numFmtId="176" fontId="27" fillId="0" borderId="0" xfId="0" applyFont="true" applyBorder="false" applyAlignment="true" applyProtection="false">
      <alignment horizontal="general" vertical="bottom" textRotation="0" wrapText="false" indent="0" shrinkToFit="false"/>
      <protection locked="true" hidden="false"/>
    </xf>
    <xf numFmtId="174" fontId="27" fillId="0" borderId="0" xfId="0" applyFont="true" applyBorder="false" applyAlignment="true" applyProtection="false">
      <alignment horizontal="general" vertical="bottom" textRotation="0" wrapText="false" indent="0" shrinkToFit="false"/>
      <protection locked="true" hidden="false"/>
    </xf>
    <xf numFmtId="177" fontId="25" fillId="0" borderId="0" xfId="0" applyFont="true" applyBorder="false" applyAlignment="true" applyProtection="false">
      <alignment horizontal="general" vertical="bottom" textRotation="0" wrapText="false" indent="0" shrinkToFit="false"/>
      <protection locked="true" hidden="false"/>
    </xf>
    <xf numFmtId="164" fontId="23" fillId="0" borderId="0" xfId="0" applyFont="true" applyBorder="false" applyAlignment="true" applyProtection="false">
      <alignment horizontal="general" vertical="bottom" textRotation="0" wrapText="true" indent="0" shrinkToFit="false"/>
      <protection locked="true" hidden="false"/>
    </xf>
    <xf numFmtId="164" fontId="28" fillId="0" borderId="0" xfId="0" applyFont="true" applyBorder="false" applyAlignment="true" applyProtection="false">
      <alignment horizontal="general" vertical="bottom" textRotation="0" wrapText="false" indent="0" shrinkToFit="false"/>
      <protection locked="true" hidden="false"/>
    </xf>
    <xf numFmtId="170" fontId="27" fillId="0" borderId="0" xfId="0" applyFont="true" applyBorder="false" applyAlignment="true" applyProtection="false">
      <alignment horizontal="general" vertical="bottom" textRotation="0" wrapText="false" indent="0" shrinkToFit="false"/>
      <protection locked="true" hidden="false"/>
    </xf>
    <xf numFmtId="180" fontId="25" fillId="0" borderId="0" xfId="0" applyFont="true" applyBorder="false" applyAlignment="true" applyProtection="false">
      <alignment horizontal="general" vertical="bottom" textRotation="0" wrapText="false" indent="0" shrinkToFit="false"/>
      <protection locked="true" hidden="false"/>
    </xf>
    <xf numFmtId="180" fontId="29" fillId="0" borderId="0" xfId="0" applyFont="true" applyBorder="false" applyAlignment="true" applyProtection="false">
      <alignment horizontal="general" vertical="bottom" textRotation="0" wrapText="false" indent="0" shrinkToFit="false"/>
      <protection locked="true" hidden="false"/>
    </xf>
    <xf numFmtId="179" fontId="25" fillId="0" borderId="0" xfId="0" applyFont="true" applyBorder="false" applyAlignment="true" applyProtection="false">
      <alignment horizontal="general" vertical="bottom" textRotation="0" wrapText="false" indent="0" shrinkToFit="false"/>
      <protection locked="true" hidden="false"/>
    </xf>
    <xf numFmtId="179" fontId="29" fillId="0" borderId="0" xfId="0" applyFont="true" applyBorder="false" applyAlignment="true" applyProtection="false">
      <alignment horizontal="general" vertical="bottom" textRotation="0" wrapText="false" indent="0" shrinkToFit="false"/>
      <protection locked="true" hidden="false"/>
    </xf>
    <xf numFmtId="181" fontId="29" fillId="0" borderId="0" xfId="0" applyFont="true" applyBorder="false" applyAlignment="true" applyProtection="false">
      <alignment horizontal="general" vertical="bottom" textRotation="0" wrapText="false" indent="0" shrinkToFit="false"/>
      <protection locked="true" hidden="false"/>
    </xf>
    <xf numFmtId="164" fontId="30" fillId="0" borderId="0" xfId="0" applyFont="true" applyBorder="fals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general" vertical="bottom" textRotation="0" wrapText="false" indent="0" shrinkToFit="false"/>
      <protection locked="true" hidden="false"/>
    </xf>
    <xf numFmtId="181" fontId="27" fillId="0" borderId="0" xfId="0" applyFont="true" applyBorder="false" applyAlignment="true" applyProtection="false">
      <alignment horizontal="general" vertical="bottom" textRotation="0" wrapText="false" indent="0" shrinkToFit="false"/>
      <protection locked="true" hidden="false"/>
    </xf>
    <xf numFmtId="181" fontId="25" fillId="0" borderId="0" xfId="0" applyFont="true" applyBorder="false" applyAlignment="true" applyProtection="false">
      <alignment horizontal="general" vertical="bottom" textRotation="0" wrapText="false" indent="0" shrinkToFit="false"/>
      <protection locked="true" hidden="false"/>
    </xf>
    <xf numFmtId="181" fontId="28" fillId="0" borderId="0" xfId="0" applyFont="true" applyBorder="false" applyAlignment="true" applyProtection="false">
      <alignment horizontal="general" vertical="bottom" textRotation="0" wrapText="false" indent="0" shrinkToFit="false"/>
      <protection locked="true" hidden="false"/>
    </xf>
    <xf numFmtId="164" fontId="27" fillId="0" borderId="0" xfId="0" applyFont="true" applyBorder="false" applyAlignment="true" applyProtection="false">
      <alignment horizontal="general" vertical="bottom" textRotation="0" wrapText="false" indent="0" shrinkToFit="false"/>
      <protection locked="true" hidden="false"/>
    </xf>
    <xf numFmtId="177" fontId="27" fillId="0" borderId="0" xfId="0" applyFont="true" applyBorder="false" applyAlignment="true" applyProtection="false">
      <alignment horizontal="general" vertical="bottom" textRotation="0" wrapText="false" indent="0" shrinkToFit="false"/>
      <protection locked="true" hidden="false"/>
    </xf>
    <xf numFmtId="180" fontId="27" fillId="3" borderId="0" xfId="0" applyFont="true" applyBorder="false" applyAlignment="true" applyProtection="false">
      <alignment horizontal="general" vertical="bottom" textRotation="0" wrapText="false" indent="0" shrinkToFit="false"/>
      <protection locked="true" hidden="false"/>
    </xf>
    <xf numFmtId="180" fontId="24" fillId="0" borderId="0" xfId="0" applyFont="true" applyBorder="false" applyAlignment="true" applyProtection="false">
      <alignment horizontal="general" vertical="bottom" textRotation="0" wrapText="false" indent="0" shrinkToFit="false"/>
      <protection locked="true" hidden="false"/>
    </xf>
    <xf numFmtId="182" fontId="24" fillId="0" borderId="0" xfId="0" applyFont="true" applyBorder="false" applyAlignment="true" applyProtection="false">
      <alignment horizontal="general" vertical="bottom" textRotation="0" wrapText="false" indent="0" shrinkToFit="false"/>
      <protection locked="true" hidden="false"/>
    </xf>
    <xf numFmtId="177" fontId="27" fillId="3" borderId="0" xfId="0" applyFont="true" applyBorder="false" applyAlignment="true" applyProtection="false">
      <alignment horizontal="general" vertical="bottom" textRotation="0" wrapText="false" indent="0" shrinkToFit="false"/>
      <protection locked="true" hidden="false"/>
    </xf>
    <xf numFmtId="174" fontId="27" fillId="3" borderId="0" xfId="0" applyFont="true" applyBorder="false" applyAlignment="true" applyProtection="false">
      <alignment horizontal="general" vertical="bottom" textRotation="0" wrapText="false" indent="0" shrinkToFit="false"/>
      <protection locked="true" hidden="false"/>
    </xf>
    <xf numFmtId="176" fontId="27" fillId="3" borderId="0" xfId="0" applyFont="true" applyBorder="false" applyAlignment="true" applyProtection="false">
      <alignment horizontal="general" vertical="bottom" textRotation="0" wrapText="false" indent="0" shrinkToFit="false"/>
      <protection locked="true" hidden="false"/>
    </xf>
    <xf numFmtId="164" fontId="31" fillId="0" borderId="0" xfId="0" applyFont="true" applyBorder="false" applyAlignment="tru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true" indent="0" shrinkToFit="false"/>
      <protection locked="true" hidden="false"/>
    </xf>
    <xf numFmtId="164" fontId="28" fillId="0" borderId="0" xfId="0" applyFont="true" applyBorder="false" applyAlignment="true" applyProtection="false">
      <alignment horizontal="center" vertical="bottom" textRotation="0" wrapText="true" indent="0" shrinkToFit="false"/>
      <protection locked="true" hidden="false"/>
    </xf>
    <xf numFmtId="171" fontId="27" fillId="0" borderId="0" xfId="0" applyFont="true" applyBorder="false" applyAlignment="true" applyProtection="false">
      <alignment horizontal="general" vertical="bottom" textRotation="0" wrapText="false" indent="0" shrinkToFit="false"/>
      <protection locked="true" hidden="false"/>
    </xf>
    <xf numFmtId="172" fontId="29" fillId="0" borderId="0" xfId="0" applyFont="true" applyBorder="false" applyAlignment="true" applyProtection="false">
      <alignment horizontal="general" vertical="bottom" textRotation="0" wrapText="false" indent="0" shrinkToFit="false"/>
      <protection locked="true" hidden="false"/>
    </xf>
    <xf numFmtId="172" fontId="28" fillId="0" borderId="0" xfId="0" applyFont="true" applyBorder="false" applyAlignment="true" applyProtection="false">
      <alignment horizontal="general" vertical="bottom" textRotation="0" wrapText="false" indent="0" shrinkToFit="false"/>
      <protection locked="true" hidden="false"/>
    </xf>
    <xf numFmtId="172" fontId="29" fillId="3" borderId="0" xfId="0" applyFont="true" applyBorder="false" applyAlignment="true" applyProtection="false">
      <alignment horizontal="general" vertical="bottom" textRotation="0" wrapText="false" indent="0" shrinkToFit="false"/>
      <protection locked="true" hidden="false"/>
    </xf>
    <xf numFmtId="172" fontId="27" fillId="0" borderId="0" xfId="0" applyFont="true" applyBorder="false" applyAlignment="true" applyProtection="false">
      <alignment horizontal="general" vertical="bottom" textRotation="0" wrapText="false" indent="0" shrinkToFit="false"/>
      <protection locked="true" hidden="false"/>
    </xf>
    <xf numFmtId="164" fontId="23" fillId="3" borderId="0" xfId="0" applyFont="true" applyBorder="false" applyAlignment="true" applyProtection="false">
      <alignment horizontal="general" vertical="bottom" textRotation="0" wrapText="false" indent="0" shrinkToFit="false"/>
      <protection locked="true" hidden="false"/>
    </xf>
    <xf numFmtId="177" fontId="24" fillId="3" borderId="0" xfId="0" applyFont="true" applyBorder="false" applyAlignment="true" applyProtection="false">
      <alignment horizontal="general" vertical="bottom" textRotation="0" wrapText="false" indent="0" shrinkToFit="false"/>
      <protection locked="true" hidden="false"/>
    </xf>
    <xf numFmtId="164" fontId="24" fillId="3" borderId="0" xfId="0" applyFont="true" applyBorder="false" applyAlignment="true" applyProtection="false">
      <alignment horizontal="general" vertical="bottom" textRotation="0" wrapText="false" indent="0" shrinkToFit="false"/>
      <protection locked="true" hidden="false"/>
    </xf>
    <xf numFmtId="171" fontId="28" fillId="0" borderId="0" xfId="0" applyFont="true" applyBorder="false" applyAlignment="true" applyProtection="false">
      <alignment horizontal="general" vertical="bottom" textRotation="0" wrapText="false" indent="0" shrinkToFit="false"/>
      <protection locked="true" hidden="false"/>
    </xf>
    <xf numFmtId="164" fontId="29" fillId="0" borderId="0" xfId="0" applyFont="true" applyBorder="false" applyAlignment="true" applyProtection="false">
      <alignment horizontal="center" vertical="bottom" textRotation="0" wrapText="true" indent="0" shrinkToFit="false"/>
      <protection locked="true" hidden="false"/>
    </xf>
    <xf numFmtId="170" fontId="28" fillId="0" borderId="0" xfId="0" applyFont="true" applyBorder="false" applyAlignment="true" applyProtection="false">
      <alignment horizontal="general" vertical="bottom" textRotation="0" wrapText="false" indent="0" shrinkToFit="false"/>
      <protection locked="true" hidden="false"/>
    </xf>
    <xf numFmtId="172" fontId="25" fillId="0" borderId="0" xfId="0" applyFont="true" applyBorder="false" applyAlignment="true" applyProtection="false">
      <alignment horizontal="general" vertical="bottom" textRotation="0" wrapText="false" indent="0" shrinkToFit="false"/>
      <protection locked="true" hidden="false"/>
    </xf>
    <xf numFmtId="169" fontId="27" fillId="0" borderId="0" xfId="0" applyFont="true" applyBorder="false" applyAlignment="true" applyProtection="false">
      <alignment horizontal="general" vertical="bottom" textRotation="0" wrapText="false" indent="0" shrinkToFit="false"/>
      <protection locked="true" hidden="false"/>
    </xf>
    <xf numFmtId="164" fontId="29" fillId="3"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3B3B3"/>
      <rgbColor rgb="FFB68A58"/>
      <rgbColor rgb="FF9999FF"/>
      <rgbColor rgb="FF993366"/>
      <rgbColor rgb="FFF0EBDD"/>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B948A"/>
      <rgbColor rgb="FF4A4741"/>
      <rgbColor rgb="FF339966"/>
      <rgbColor rgb="FF003300"/>
      <rgbColor rgb="FF232321"/>
      <rgbColor rgb="FF993300"/>
      <rgbColor rgb="FF993366"/>
      <rgbColor rgb="FF404040"/>
      <rgbColor rgb="FF3D3A3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0" sz="1300" strike="noStrike" u="none">
                <a:uFillTx/>
                <a:latin typeface="Arial"/>
              </a:defRPr>
            </a:pPr>
            <a:r>
              <a:rPr b="1" sz="1800" strike="noStrike" u="none">
                <a:solidFill>
                  <a:srgbClr val="000000"/>
                </a:solidFill>
                <a:uFillTx/>
                <a:latin typeface="Calibri"/>
              </a:rPr>
              <a:t>Cumulative operating free cash versus upfront funding</a:t>
            </a:r>
          </a:p>
        </c:rich>
      </c:tx>
      <c:overlay val="0"/>
      <c:spPr>
        <a:noFill/>
        <a:ln w="0">
          <a:noFill/>
        </a:ln>
      </c:spPr>
    </c:title>
    <c:autoTitleDeleted val="0"/>
    <c:plotArea>
      <c:lineChart>
        <c:grouping val="standard"/>
        <c:varyColors val="0"/>
        <c:ser>
          <c:idx val="0"/>
          <c:order val="0"/>
          <c:tx>
            <c:strRef>
              <c:f>"Cumulative operating free cash"</c:f>
              <c:strCache>
                <c:ptCount val="1"/>
                <c:pt idx="0">
                  <c:v>Cumulative operating free cash</c:v>
                </c:pt>
              </c:strCache>
            </c:strRef>
          </c:tx>
          <c:spPr>
            <a:solidFill>
              <a:srgbClr val="ffffff"/>
            </a:solidFill>
            <a:ln w="0">
              <a:solidFill>
                <a:srgbClr val="ffffff"/>
              </a:solidFill>
            </a:ln>
          </c:spPr>
          <c:marker>
            <c:symbol val="none"/>
          </c:marker>
          <c:dLbls>
            <c:txPr>
              <a:bodyPr wrap="square"/>
              <a:lstStyle/>
              <a:p>
                <a:pPr>
                  <a:defRPr b="0" sz="1000" strike="noStrike" u="none">
                    <a:solidFill>
                      <a:srgbClr val="000000"/>
                    </a:solidFill>
                    <a:uFillTx/>
                    <a:latin typeface="Arial"/>
                  </a:defRPr>
                </a:pPr>
              </a:p>
            </c:txPr>
            <c:dLblPos val="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Breakeven!$C$53:$C$112</c:f>
              <c:strCache>
                <c:ptCount val="60"/>
                <c:pt idx="0">
                  <c:v>19</c:v>
                </c:pt>
                <c:pt idx="1">
                  <c:v>20</c:v>
                </c:pt>
                <c:pt idx="2">
                  <c:v>21</c:v>
                </c:pt>
                <c:pt idx="3">
                  <c:v>22</c:v>
                </c:pt>
                <c:pt idx="4">
                  <c:v>23</c:v>
                </c:pt>
                <c:pt idx="5">
                  <c:v>24</c:v>
                </c:pt>
                <c:pt idx="6">
                  <c:v>25</c:v>
                </c:pt>
                <c:pt idx="7">
                  <c:v>26</c:v>
                </c:pt>
                <c:pt idx="8">
                  <c:v>27</c:v>
                </c:pt>
                <c:pt idx="9">
                  <c:v>28</c:v>
                </c:pt>
                <c:pt idx="10">
                  <c:v>29</c:v>
                </c:pt>
                <c:pt idx="11">
                  <c:v>30</c:v>
                </c:pt>
                <c:pt idx="12">
                  <c:v>31</c:v>
                </c:pt>
                <c:pt idx="13">
                  <c:v>32</c:v>
                </c:pt>
                <c:pt idx="14">
                  <c:v>33</c:v>
                </c:pt>
                <c:pt idx="15">
                  <c:v>34</c:v>
                </c:pt>
                <c:pt idx="16">
                  <c:v>35</c:v>
                </c:pt>
                <c:pt idx="17">
                  <c:v>36</c:v>
                </c:pt>
                <c:pt idx="18">
                  <c:v>37</c:v>
                </c:pt>
                <c:pt idx="19">
                  <c:v>38</c:v>
                </c:pt>
                <c:pt idx="20">
                  <c:v>39</c:v>
                </c:pt>
                <c:pt idx="21">
                  <c:v>40</c:v>
                </c:pt>
                <c:pt idx="22">
                  <c:v>41</c:v>
                </c:pt>
                <c:pt idx="23">
                  <c:v>42</c:v>
                </c:pt>
                <c:pt idx="24">
                  <c:v>43</c:v>
                </c:pt>
                <c:pt idx="25">
                  <c:v>44</c:v>
                </c:pt>
                <c:pt idx="26">
                  <c:v>45</c:v>
                </c:pt>
                <c:pt idx="27">
                  <c:v>46</c:v>
                </c:pt>
                <c:pt idx="28">
                  <c:v>47</c:v>
                </c:pt>
                <c:pt idx="29">
                  <c:v>48</c:v>
                </c:pt>
                <c:pt idx="30">
                  <c:v>49</c:v>
                </c:pt>
                <c:pt idx="31">
                  <c:v>50</c:v>
                </c:pt>
                <c:pt idx="32">
                  <c:v>51</c:v>
                </c:pt>
                <c:pt idx="33">
                  <c:v>52</c:v>
                </c:pt>
                <c:pt idx="34">
                  <c:v>53</c:v>
                </c:pt>
                <c:pt idx="35">
                  <c:v>54</c:v>
                </c:pt>
                <c:pt idx="36">
                  <c:v>55</c:v>
                </c:pt>
                <c:pt idx="37">
                  <c:v>56</c:v>
                </c:pt>
                <c:pt idx="38">
                  <c:v>57</c:v>
                </c:pt>
                <c:pt idx="39">
                  <c:v>58</c:v>
                </c:pt>
                <c:pt idx="40">
                  <c:v>59</c:v>
                </c:pt>
                <c:pt idx="41">
                  <c:v>60</c:v>
                </c:pt>
                <c:pt idx="42">
                  <c:v>61</c:v>
                </c:pt>
                <c:pt idx="43">
                  <c:v>62</c:v>
                </c:pt>
                <c:pt idx="44">
                  <c:v>63</c:v>
                </c:pt>
                <c:pt idx="45">
                  <c:v>64</c:v>
                </c:pt>
                <c:pt idx="46">
                  <c:v>65</c:v>
                </c:pt>
                <c:pt idx="47">
                  <c:v>66</c:v>
                </c:pt>
                <c:pt idx="48">
                  <c:v>67</c:v>
                </c:pt>
                <c:pt idx="49">
                  <c:v>68</c:v>
                </c:pt>
                <c:pt idx="50">
                  <c:v>69</c:v>
                </c:pt>
                <c:pt idx="51">
                  <c:v>70</c:v>
                </c:pt>
                <c:pt idx="52">
                  <c:v>71</c:v>
                </c:pt>
                <c:pt idx="53">
                  <c:v>72</c:v>
                </c:pt>
                <c:pt idx="54">
                  <c:v>73</c:v>
                </c:pt>
                <c:pt idx="55">
                  <c:v>74</c:v>
                </c:pt>
                <c:pt idx="56">
                  <c:v>75</c:v>
                </c:pt>
                <c:pt idx="57">
                  <c:v>76</c:v>
                </c:pt>
                <c:pt idx="58">
                  <c:v>77</c:v>
                </c:pt>
                <c:pt idx="59">
                  <c:v>78</c:v>
                </c:pt>
              </c:strCache>
            </c:strRef>
          </c:cat>
          <c:val>
            <c:numRef>
              <c:f>Breakeven!$D$53:$D$112</c:f>
              <c:numCache>
                <c:formatCode>\€#,##0;"(€"#,##0\);\–</c:formatCode>
                <c:ptCount val="60"/>
                <c:pt idx="0">
                  <c:v>-67733.4890086138</c:v>
                </c:pt>
                <c:pt idx="1">
                  <c:v>-135466.978017228</c:v>
                </c:pt>
                <c:pt idx="2">
                  <c:v>-69948.2036004507</c:v>
                </c:pt>
                <c:pt idx="3">
                  <c:v>-4429.42918367381</c:v>
                </c:pt>
                <c:pt idx="4">
                  <c:v>61089.345233103</c:v>
                </c:pt>
                <c:pt idx="5">
                  <c:v>126608.11964988</c:v>
                </c:pt>
                <c:pt idx="6">
                  <c:v>192126.894066657</c:v>
                </c:pt>
                <c:pt idx="7">
                  <c:v>257645.668483434</c:v>
                </c:pt>
                <c:pt idx="8">
                  <c:v>323164.442900211</c:v>
                </c:pt>
                <c:pt idx="9">
                  <c:v>388683.217316988</c:v>
                </c:pt>
                <c:pt idx="10">
                  <c:v>454201.991733765</c:v>
                </c:pt>
                <c:pt idx="11">
                  <c:v>519720.766150541</c:v>
                </c:pt>
                <c:pt idx="12">
                  <c:v>447982.836214113</c:v>
                </c:pt>
                <c:pt idx="13">
                  <c:v>376244.906277684</c:v>
                </c:pt>
                <c:pt idx="14">
                  <c:v>472447.855418352</c:v>
                </c:pt>
                <c:pt idx="15">
                  <c:v>568650.80455902</c:v>
                </c:pt>
                <c:pt idx="16">
                  <c:v>664853.753699688</c:v>
                </c:pt>
                <c:pt idx="17">
                  <c:v>761056.702840356</c:v>
                </c:pt>
                <c:pt idx="18">
                  <c:v>857259.651981023</c:v>
                </c:pt>
                <c:pt idx="19">
                  <c:v>953462.601121691</c:v>
                </c:pt>
                <c:pt idx="20">
                  <c:v>1049665.55026236</c:v>
                </c:pt>
                <c:pt idx="21">
                  <c:v>1145868.49940303</c:v>
                </c:pt>
                <c:pt idx="22">
                  <c:v>1242071.4485437</c:v>
                </c:pt>
                <c:pt idx="23">
                  <c:v>1338274.39768436</c:v>
                </c:pt>
                <c:pt idx="24">
                  <c:v>1256096.864</c:v>
                </c:pt>
                <c:pt idx="25">
                  <c:v>1173919.33031563</c:v>
                </c:pt>
                <c:pt idx="26">
                  <c:v>1294838.48101032</c:v>
                </c:pt>
                <c:pt idx="27">
                  <c:v>1415757.63170501</c:v>
                </c:pt>
                <c:pt idx="28">
                  <c:v>1536676.7823997</c:v>
                </c:pt>
                <c:pt idx="29">
                  <c:v>1657595.93309438</c:v>
                </c:pt>
                <c:pt idx="30">
                  <c:v>1778515.08378907</c:v>
                </c:pt>
                <c:pt idx="31">
                  <c:v>1899434.23448376</c:v>
                </c:pt>
                <c:pt idx="32">
                  <c:v>2020353.38517845</c:v>
                </c:pt>
                <c:pt idx="33">
                  <c:v>2141272.53587314</c:v>
                </c:pt>
                <c:pt idx="34">
                  <c:v>2262191.68656783</c:v>
                </c:pt>
                <c:pt idx="35">
                  <c:v>2383110.83726252</c:v>
                </c:pt>
                <c:pt idx="36">
                  <c:v>2291712.40362784</c:v>
                </c:pt>
                <c:pt idx="37">
                  <c:v>2200313.96999316</c:v>
                </c:pt>
                <c:pt idx="38">
                  <c:v>2343574.33702227</c:v>
                </c:pt>
                <c:pt idx="39">
                  <c:v>2486834.70405137</c:v>
                </c:pt>
                <c:pt idx="40">
                  <c:v>2630095.07108048</c:v>
                </c:pt>
                <c:pt idx="41">
                  <c:v>2773355.43810958</c:v>
                </c:pt>
                <c:pt idx="42">
                  <c:v>2916615.80513869</c:v>
                </c:pt>
                <c:pt idx="43">
                  <c:v>3059876.17216779</c:v>
                </c:pt>
                <c:pt idx="44">
                  <c:v>3203136.5391969</c:v>
                </c:pt>
                <c:pt idx="45">
                  <c:v>3346396.906226</c:v>
                </c:pt>
                <c:pt idx="46">
                  <c:v>3489657.27325511</c:v>
                </c:pt>
                <c:pt idx="47">
                  <c:v>3632917.64028421</c:v>
                </c:pt>
                <c:pt idx="48">
                  <c:v>3530963.94074606</c:v>
                </c:pt>
                <c:pt idx="49">
                  <c:v>3429010.24120791</c:v>
                </c:pt>
                <c:pt idx="50">
                  <c:v>3596508.49473867</c:v>
                </c:pt>
                <c:pt idx="51">
                  <c:v>3764006.74826943</c:v>
                </c:pt>
                <c:pt idx="52">
                  <c:v>3931505.0018002</c:v>
                </c:pt>
                <c:pt idx="53">
                  <c:v>4099003.25533096</c:v>
                </c:pt>
                <c:pt idx="54">
                  <c:v>4266501.50886172</c:v>
                </c:pt>
                <c:pt idx="55">
                  <c:v>4433999.76239248</c:v>
                </c:pt>
                <c:pt idx="56">
                  <c:v>4601498.01592324</c:v>
                </c:pt>
                <c:pt idx="57">
                  <c:v>4768996.269454</c:v>
                </c:pt>
                <c:pt idx="58">
                  <c:v>4936494.52298476</c:v>
                </c:pt>
                <c:pt idx="59">
                  <c:v>5103992.77651552</c:v>
                </c:pt>
              </c:numCache>
            </c:numRef>
          </c:val>
          <c:smooth val="0"/>
        </c:ser>
        <c:ser>
          <c:idx val="1"/>
          <c:order val="1"/>
          <c:tx>
            <c:strRef>
              <c:f>"Startup spend"</c:f>
              <c:strCache>
                <c:ptCount val="1"/>
                <c:pt idx="0">
                  <c:v>Startup spend</c:v>
                </c:pt>
              </c:strCache>
            </c:strRef>
          </c:tx>
          <c:spPr>
            <a:solidFill>
              <a:srgbClr val="ffffff"/>
            </a:solidFill>
            <a:ln w="0">
              <a:solidFill>
                <a:srgbClr val="ffffff"/>
              </a:solidFill>
            </a:ln>
          </c:spPr>
          <c:marker>
            <c:symbol val="none"/>
          </c:marker>
          <c:dLbls>
            <c:txPr>
              <a:bodyPr wrap="square"/>
              <a:lstStyle/>
              <a:p>
                <a:pPr>
                  <a:defRPr b="0" sz="1000" strike="noStrike" u="none">
                    <a:solidFill>
                      <a:srgbClr val="000000"/>
                    </a:solidFill>
                    <a:uFillTx/>
                    <a:latin typeface="Arial"/>
                  </a:defRPr>
                </a:pPr>
              </a:p>
            </c:txPr>
            <c:dLblPos val="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Breakeven!$C$53:$C$112</c:f>
              <c:strCache>
                <c:ptCount val="60"/>
                <c:pt idx="0">
                  <c:v>19</c:v>
                </c:pt>
                <c:pt idx="1">
                  <c:v>20</c:v>
                </c:pt>
                <c:pt idx="2">
                  <c:v>21</c:v>
                </c:pt>
                <c:pt idx="3">
                  <c:v>22</c:v>
                </c:pt>
                <c:pt idx="4">
                  <c:v>23</c:v>
                </c:pt>
                <c:pt idx="5">
                  <c:v>24</c:v>
                </c:pt>
                <c:pt idx="6">
                  <c:v>25</c:v>
                </c:pt>
                <c:pt idx="7">
                  <c:v>26</c:v>
                </c:pt>
                <c:pt idx="8">
                  <c:v>27</c:v>
                </c:pt>
                <c:pt idx="9">
                  <c:v>28</c:v>
                </c:pt>
                <c:pt idx="10">
                  <c:v>29</c:v>
                </c:pt>
                <c:pt idx="11">
                  <c:v>30</c:v>
                </c:pt>
                <c:pt idx="12">
                  <c:v>31</c:v>
                </c:pt>
                <c:pt idx="13">
                  <c:v>32</c:v>
                </c:pt>
                <c:pt idx="14">
                  <c:v>33</c:v>
                </c:pt>
                <c:pt idx="15">
                  <c:v>34</c:v>
                </c:pt>
                <c:pt idx="16">
                  <c:v>35</c:v>
                </c:pt>
                <c:pt idx="17">
                  <c:v>36</c:v>
                </c:pt>
                <c:pt idx="18">
                  <c:v>37</c:v>
                </c:pt>
                <c:pt idx="19">
                  <c:v>38</c:v>
                </c:pt>
                <c:pt idx="20">
                  <c:v>39</c:v>
                </c:pt>
                <c:pt idx="21">
                  <c:v>40</c:v>
                </c:pt>
                <c:pt idx="22">
                  <c:v>41</c:v>
                </c:pt>
                <c:pt idx="23">
                  <c:v>42</c:v>
                </c:pt>
                <c:pt idx="24">
                  <c:v>43</c:v>
                </c:pt>
                <c:pt idx="25">
                  <c:v>44</c:v>
                </c:pt>
                <c:pt idx="26">
                  <c:v>45</c:v>
                </c:pt>
                <c:pt idx="27">
                  <c:v>46</c:v>
                </c:pt>
                <c:pt idx="28">
                  <c:v>47</c:v>
                </c:pt>
                <c:pt idx="29">
                  <c:v>48</c:v>
                </c:pt>
                <c:pt idx="30">
                  <c:v>49</c:v>
                </c:pt>
                <c:pt idx="31">
                  <c:v>50</c:v>
                </c:pt>
                <c:pt idx="32">
                  <c:v>51</c:v>
                </c:pt>
                <c:pt idx="33">
                  <c:v>52</c:v>
                </c:pt>
                <c:pt idx="34">
                  <c:v>53</c:v>
                </c:pt>
                <c:pt idx="35">
                  <c:v>54</c:v>
                </c:pt>
                <c:pt idx="36">
                  <c:v>55</c:v>
                </c:pt>
                <c:pt idx="37">
                  <c:v>56</c:v>
                </c:pt>
                <c:pt idx="38">
                  <c:v>57</c:v>
                </c:pt>
                <c:pt idx="39">
                  <c:v>58</c:v>
                </c:pt>
                <c:pt idx="40">
                  <c:v>59</c:v>
                </c:pt>
                <c:pt idx="41">
                  <c:v>60</c:v>
                </c:pt>
                <c:pt idx="42">
                  <c:v>61</c:v>
                </c:pt>
                <c:pt idx="43">
                  <c:v>62</c:v>
                </c:pt>
                <c:pt idx="44">
                  <c:v>63</c:v>
                </c:pt>
                <c:pt idx="45">
                  <c:v>64</c:v>
                </c:pt>
                <c:pt idx="46">
                  <c:v>65</c:v>
                </c:pt>
                <c:pt idx="47">
                  <c:v>66</c:v>
                </c:pt>
                <c:pt idx="48">
                  <c:v>67</c:v>
                </c:pt>
                <c:pt idx="49">
                  <c:v>68</c:v>
                </c:pt>
                <c:pt idx="50">
                  <c:v>69</c:v>
                </c:pt>
                <c:pt idx="51">
                  <c:v>70</c:v>
                </c:pt>
                <c:pt idx="52">
                  <c:v>71</c:v>
                </c:pt>
                <c:pt idx="53">
                  <c:v>72</c:v>
                </c:pt>
                <c:pt idx="54">
                  <c:v>73</c:v>
                </c:pt>
                <c:pt idx="55">
                  <c:v>74</c:v>
                </c:pt>
                <c:pt idx="56">
                  <c:v>75</c:v>
                </c:pt>
                <c:pt idx="57">
                  <c:v>76</c:v>
                </c:pt>
                <c:pt idx="58">
                  <c:v>77</c:v>
                </c:pt>
                <c:pt idx="59">
                  <c:v>78</c:v>
                </c:pt>
              </c:strCache>
            </c:strRef>
          </c:cat>
          <c:val>
            <c:numRef>
              <c:f>Breakeven!$E$53:$E$112</c:f>
              <c:numCache>
                <c:formatCode>\€#,##0;"(€"#,##0\);\–</c:formatCode>
                <c:ptCount val="60"/>
                <c:pt idx="0">
                  <c:v>3819550.75026219</c:v>
                </c:pt>
                <c:pt idx="1">
                  <c:v>3819550.75026219</c:v>
                </c:pt>
                <c:pt idx="2">
                  <c:v>3819550.75026219</c:v>
                </c:pt>
                <c:pt idx="3">
                  <c:v>3819550.75026219</c:v>
                </c:pt>
                <c:pt idx="4">
                  <c:v>3819550.75026219</c:v>
                </c:pt>
                <c:pt idx="5">
                  <c:v>3819550.75026219</c:v>
                </c:pt>
                <c:pt idx="6">
                  <c:v>3819550.75026219</c:v>
                </c:pt>
                <c:pt idx="7">
                  <c:v>3819550.75026219</c:v>
                </c:pt>
                <c:pt idx="8">
                  <c:v>3819550.75026219</c:v>
                </c:pt>
                <c:pt idx="9">
                  <c:v>3819550.75026219</c:v>
                </c:pt>
                <c:pt idx="10">
                  <c:v>3819550.75026219</c:v>
                </c:pt>
                <c:pt idx="11">
                  <c:v>3819550.75026219</c:v>
                </c:pt>
                <c:pt idx="12">
                  <c:v>3819550.75026219</c:v>
                </c:pt>
                <c:pt idx="13">
                  <c:v>3819550.75026219</c:v>
                </c:pt>
                <c:pt idx="14">
                  <c:v>3819550.75026219</c:v>
                </c:pt>
                <c:pt idx="15">
                  <c:v>3819550.75026219</c:v>
                </c:pt>
                <c:pt idx="16">
                  <c:v>3819550.75026219</c:v>
                </c:pt>
                <c:pt idx="17">
                  <c:v>3819550.75026219</c:v>
                </c:pt>
                <c:pt idx="18">
                  <c:v>3819550.75026219</c:v>
                </c:pt>
                <c:pt idx="19">
                  <c:v>3819550.75026219</c:v>
                </c:pt>
                <c:pt idx="20">
                  <c:v>3819550.75026219</c:v>
                </c:pt>
                <c:pt idx="21">
                  <c:v>3819550.75026219</c:v>
                </c:pt>
                <c:pt idx="22">
                  <c:v>3819550.75026219</c:v>
                </c:pt>
                <c:pt idx="23">
                  <c:v>3819550.75026219</c:v>
                </c:pt>
                <c:pt idx="24">
                  <c:v>3819550.75026219</c:v>
                </c:pt>
                <c:pt idx="25">
                  <c:v>3819550.75026219</c:v>
                </c:pt>
                <c:pt idx="26">
                  <c:v>3819550.75026219</c:v>
                </c:pt>
                <c:pt idx="27">
                  <c:v>3819550.75026219</c:v>
                </c:pt>
                <c:pt idx="28">
                  <c:v>3819550.75026219</c:v>
                </c:pt>
                <c:pt idx="29">
                  <c:v>3819550.75026219</c:v>
                </c:pt>
                <c:pt idx="30">
                  <c:v>3819550.75026219</c:v>
                </c:pt>
                <c:pt idx="31">
                  <c:v>3819550.75026219</c:v>
                </c:pt>
                <c:pt idx="32">
                  <c:v>3819550.75026219</c:v>
                </c:pt>
                <c:pt idx="33">
                  <c:v>3819550.75026219</c:v>
                </c:pt>
                <c:pt idx="34">
                  <c:v>3819550.75026219</c:v>
                </c:pt>
                <c:pt idx="35">
                  <c:v>3819550.75026219</c:v>
                </c:pt>
                <c:pt idx="36">
                  <c:v>3819550.75026219</c:v>
                </c:pt>
                <c:pt idx="37">
                  <c:v>3819550.75026219</c:v>
                </c:pt>
                <c:pt idx="38">
                  <c:v>3819550.75026219</c:v>
                </c:pt>
                <c:pt idx="39">
                  <c:v>3819550.75026219</c:v>
                </c:pt>
                <c:pt idx="40">
                  <c:v>3819550.75026219</c:v>
                </c:pt>
                <c:pt idx="41">
                  <c:v>3819550.75026219</c:v>
                </c:pt>
                <c:pt idx="42">
                  <c:v>3819550.75026219</c:v>
                </c:pt>
                <c:pt idx="43">
                  <c:v>3819550.75026219</c:v>
                </c:pt>
                <c:pt idx="44">
                  <c:v>3819550.75026219</c:v>
                </c:pt>
                <c:pt idx="45">
                  <c:v>3819550.75026219</c:v>
                </c:pt>
                <c:pt idx="46">
                  <c:v>3819550.75026219</c:v>
                </c:pt>
                <c:pt idx="47">
                  <c:v>3819550.75026219</c:v>
                </c:pt>
                <c:pt idx="48">
                  <c:v>3819550.75026219</c:v>
                </c:pt>
                <c:pt idx="49">
                  <c:v>3819550.75026219</c:v>
                </c:pt>
                <c:pt idx="50">
                  <c:v>3819550.75026219</c:v>
                </c:pt>
                <c:pt idx="51">
                  <c:v>3819550.75026219</c:v>
                </c:pt>
                <c:pt idx="52">
                  <c:v>3819550.75026219</c:v>
                </c:pt>
                <c:pt idx="53">
                  <c:v>3819550.75026219</c:v>
                </c:pt>
                <c:pt idx="54">
                  <c:v>3819550.75026219</c:v>
                </c:pt>
                <c:pt idx="55">
                  <c:v>3819550.75026219</c:v>
                </c:pt>
                <c:pt idx="56">
                  <c:v>3819550.75026219</c:v>
                </c:pt>
                <c:pt idx="57">
                  <c:v>3819550.75026219</c:v>
                </c:pt>
                <c:pt idx="58">
                  <c:v>3819550.75026219</c:v>
                </c:pt>
                <c:pt idx="59">
                  <c:v>3819550.75026219</c:v>
                </c:pt>
              </c:numCache>
            </c:numRef>
          </c:val>
          <c:smooth val="0"/>
        </c:ser>
        <c:ser>
          <c:idx val="2"/>
          <c:order val="2"/>
          <c:tx>
            <c:strRef>
              <c:f>"Base funding"</c:f>
              <c:strCache>
                <c:ptCount val="1"/>
                <c:pt idx="0">
                  <c:v>Base funding</c:v>
                </c:pt>
              </c:strCache>
            </c:strRef>
          </c:tx>
          <c:spPr>
            <a:solidFill>
              <a:srgbClr val="ffffff"/>
            </a:solidFill>
            <a:ln w="0">
              <a:solidFill>
                <a:srgbClr val="ffffff"/>
              </a:solidFill>
            </a:ln>
          </c:spPr>
          <c:marker>
            <c:symbol val="none"/>
          </c:marker>
          <c:dLbls>
            <c:txPr>
              <a:bodyPr wrap="square"/>
              <a:lstStyle/>
              <a:p>
                <a:pPr>
                  <a:defRPr b="0" sz="1000" strike="noStrike" u="none">
                    <a:solidFill>
                      <a:srgbClr val="000000"/>
                    </a:solidFill>
                    <a:uFillTx/>
                    <a:latin typeface="Arial"/>
                  </a:defRPr>
                </a:pPr>
              </a:p>
            </c:txPr>
            <c:dLblPos val="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Breakeven!$C$53:$C$112</c:f>
              <c:strCache>
                <c:ptCount val="60"/>
                <c:pt idx="0">
                  <c:v>19</c:v>
                </c:pt>
                <c:pt idx="1">
                  <c:v>20</c:v>
                </c:pt>
                <c:pt idx="2">
                  <c:v>21</c:v>
                </c:pt>
                <c:pt idx="3">
                  <c:v>22</c:v>
                </c:pt>
                <c:pt idx="4">
                  <c:v>23</c:v>
                </c:pt>
                <c:pt idx="5">
                  <c:v>24</c:v>
                </c:pt>
                <c:pt idx="6">
                  <c:v>25</c:v>
                </c:pt>
                <c:pt idx="7">
                  <c:v>26</c:v>
                </c:pt>
                <c:pt idx="8">
                  <c:v>27</c:v>
                </c:pt>
                <c:pt idx="9">
                  <c:v>28</c:v>
                </c:pt>
                <c:pt idx="10">
                  <c:v>29</c:v>
                </c:pt>
                <c:pt idx="11">
                  <c:v>30</c:v>
                </c:pt>
                <c:pt idx="12">
                  <c:v>31</c:v>
                </c:pt>
                <c:pt idx="13">
                  <c:v>32</c:v>
                </c:pt>
                <c:pt idx="14">
                  <c:v>33</c:v>
                </c:pt>
                <c:pt idx="15">
                  <c:v>34</c:v>
                </c:pt>
                <c:pt idx="16">
                  <c:v>35</c:v>
                </c:pt>
                <c:pt idx="17">
                  <c:v>36</c:v>
                </c:pt>
                <c:pt idx="18">
                  <c:v>37</c:v>
                </c:pt>
                <c:pt idx="19">
                  <c:v>38</c:v>
                </c:pt>
                <c:pt idx="20">
                  <c:v>39</c:v>
                </c:pt>
                <c:pt idx="21">
                  <c:v>40</c:v>
                </c:pt>
                <c:pt idx="22">
                  <c:v>41</c:v>
                </c:pt>
                <c:pt idx="23">
                  <c:v>42</c:v>
                </c:pt>
                <c:pt idx="24">
                  <c:v>43</c:v>
                </c:pt>
                <c:pt idx="25">
                  <c:v>44</c:v>
                </c:pt>
                <c:pt idx="26">
                  <c:v>45</c:v>
                </c:pt>
                <c:pt idx="27">
                  <c:v>46</c:v>
                </c:pt>
                <c:pt idx="28">
                  <c:v>47</c:v>
                </c:pt>
                <c:pt idx="29">
                  <c:v>48</c:v>
                </c:pt>
                <c:pt idx="30">
                  <c:v>49</c:v>
                </c:pt>
                <c:pt idx="31">
                  <c:v>50</c:v>
                </c:pt>
                <c:pt idx="32">
                  <c:v>51</c:v>
                </c:pt>
                <c:pt idx="33">
                  <c:v>52</c:v>
                </c:pt>
                <c:pt idx="34">
                  <c:v>53</c:v>
                </c:pt>
                <c:pt idx="35">
                  <c:v>54</c:v>
                </c:pt>
                <c:pt idx="36">
                  <c:v>55</c:v>
                </c:pt>
                <c:pt idx="37">
                  <c:v>56</c:v>
                </c:pt>
                <c:pt idx="38">
                  <c:v>57</c:v>
                </c:pt>
                <c:pt idx="39">
                  <c:v>58</c:v>
                </c:pt>
                <c:pt idx="40">
                  <c:v>59</c:v>
                </c:pt>
                <c:pt idx="41">
                  <c:v>60</c:v>
                </c:pt>
                <c:pt idx="42">
                  <c:v>61</c:v>
                </c:pt>
                <c:pt idx="43">
                  <c:v>62</c:v>
                </c:pt>
                <c:pt idx="44">
                  <c:v>63</c:v>
                </c:pt>
                <c:pt idx="45">
                  <c:v>64</c:v>
                </c:pt>
                <c:pt idx="46">
                  <c:v>65</c:v>
                </c:pt>
                <c:pt idx="47">
                  <c:v>66</c:v>
                </c:pt>
                <c:pt idx="48">
                  <c:v>67</c:v>
                </c:pt>
                <c:pt idx="49">
                  <c:v>68</c:v>
                </c:pt>
                <c:pt idx="50">
                  <c:v>69</c:v>
                </c:pt>
                <c:pt idx="51">
                  <c:v>70</c:v>
                </c:pt>
                <c:pt idx="52">
                  <c:v>71</c:v>
                </c:pt>
                <c:pt idx="53">
                  <c:v>72</c:v>
                </c:pt>
                <c:pt idx="54">
                  <c:v>73</c:v>
                </c:pt>
                <c:pt idx="55">
                  <c:v>74</c:v>
                </c:pt>
                <c:pt idx="56">
                  <c:v>75</c:v>
                </c:pt>
                <c:pt idx="57">
                  <c:v>76</c:v>
                </c:pt>
                <c:pt idx="58">
                  <c:v>77</c:v>
                </c:pt>
                <c:pt idx="59">
                  <c:v>78</c:v>
                </c:pt>
              </c:strCache>
            </c:strRef>
          </c:cat>
          <c:val>
            <c:numRef>
              <c:f>Breakeven!$F$53:$F$112</c:f>
              <c:numCache>
                <c:formatCode>\€#,##0;"(€"#,##0\);\–</c:formatCode>
                <c:ptCount val="60"/>
                <c:pt idx="0">
                  <c:v>4619550.75026219</c:v>
                </c:pt>
                <c:pt idx="1">
                  <c:v>4619550.75026219</c:v>
                </c:pt>
                <c:pt idx="2">
                  <c:v>4619550.75026219</c:v>
                </c:pt>
                <c:pt idx="3">
                  <c:v>4619550.75026219</c:v>
                </c:pt>
                <c:pt idx="4">
                  <c:v>4619550.75026219</c:v>
                </c:pt>
                <c:pt idx="5">
                  <c:v>4619550.75026219</c:v>
                </c:pt>
                <c:pt idx="6">
                  <c:v>4619550.75026219</c:v>
                </c:pt>
                <c:pt idx="7">
                  <c:v>4619550.75026219</c:v>
                </c:pt>
                <c:pt idx="8">
                  <c:v>4619550.75026219</c:v>
                </c:pt>
                <c:pt idx="9">
                  <c:v>4619550.75026219</c:v>
                </c:pt>
                <c:pt idx="10">
                  <c:v>4619550.75026219</c:v>
                </c:pt>
                <c:pt idx="11">
                  <c:v>4619550.75026219</c:v>
                </c:pt>
                <c:pt idx="12">
                  <c:v>4619550.75026219</c:v>
                </c:pt>
                <c:pt idx="13">
                  <c:v>4619550.75026219</c:v>
                </c:pt>
                <c:pt idx="14">
                  <c:v>4619550.75026219</c:v>
                </c:pt>
                <c:pt idx="15">
                  <c:v>4619550.75026219</c:v>
                </c:pt>
                <c:pt idx="16">
                  <c:v>4619550.75026219</c:v>
                </c:pt>
                <c:pt idx="17">
                  <c:v>4619550.75026219</c:v>
                </c:pt>
                <c:pt idx="18">
                  <c:v>4619550.75026219</c:v>
                </c:pt>
                <c:pt idx="19">
                  <c:v>4619550.75026219</c:v>
                </c:pt>
                <c:pt idx="20">
                  <c:v>4619550.75026219</c:v>
                </c:pt>
                <c:pt idx="21">
                  <c:v>4619550.75026219</c:v>
                </c:pt>
                <c:pt idx="22">
                  <c:v>4619550.75026219</c:v>
                </c:pt>
                <c:pt idx="23">
                  <c:v>4619550.75026219</c:v>
                </c:pt>
                <c:pt idx="24">
                  <c:v>4619550.75026219</c:v>
                </c:pt>
                <c:pt idx="25">
                  <c:v>4619550.75026219</c:v>
                </c:pt>
                <c:pt idx="26">
                  <c:v>4619550.75026219</c:v>
                </c:pt>
                <c:pt idx="27">
                  <c:v>4619550.75026219</c:v>
                </c:pt>
                <c:pt idx="28">
                  <c:v>4619550.75026219</c:v>
                </c:pt>
                <c:pt idx="29">
                  <c:v>4619550.75026219</c:v>
                </c:pt>
                <c:pt idx="30">
                  <c:v>4619550.75026219</c:v>
                </c:pt>
                <c:pt idx="31">
                  <c:v>4619550.75026219</c:v>
                </c:pt>
                <c:pt idx="32">
                  <c:v>4619550.75026219</c:v>
                </c:pt>
                <c:pt idx="33">
                  <c:v>4619550.75026219</c:v>
                </c:pt>
                <c:pt idx="34">
                  <c:v>4619550.75026219</c:v>
                </c:pt>
                <c:pt idx="35">
                  <c:v>4619550.75026219</c:v>
                </c:pt>
                <c:pt idx="36">
                  <c:v>4619550.75026219</c:v>
                </c:pt>
                <c:pt idx="37">
                  <c:v>4619550.75026219</c:v>
                </c:pt>
                <c:pt idx="38">
                  <c:v>4619550.75026219</c:v>
                </c:pt>
                <c:pt idx="39">
                  <c:v>4619550.75026219</c:v>
                </c:pt>
                <c:pt idx="40">
                  <c:v>4619550.75026219</c:v>
                </c:pt>
                <c:pt idx="41">
                  <c:v>4619550.75026219</c:v>
                </c:pt>
                <c:pt idx="42">
                  <c:v>4619550.75026219</c:v>
                </c:pt>
                <c:pt idx="43">
                  <c:v>4619550.75026219</c:v>
                </c:pt>
                <c:pt idx="44">
                  <c:v>4619550.75026219</c:v>
                </c:pt>
                <c:pt idx="45">
                  <c:v>4619550.75026219</c:v>
                </c:pt>
                <c:pt idx="46">
                  <c:v>4619550.75026219</c:v>
                </c:pt>
                <c:pt idx="47">
                  <c:v>4619550.75026219</c:v>
                </c:pt>
                <c:pt idx="48">
                  <c:v>4619550.75026219</c:v>
                </c:pt>
                <c:pt idx="49">
                  <c:v>4619550.75026219</c:v>
                </c:pt>
                <c:pt idx="50">
                  <c:v>4619550.75026219</c:v>
                </c:pt>
                <c:pt idx="51">
                  <c:v>4619550.75026219</c:v>
                </c:pt>
                <c:pt idx="52">
                  <c:v>4619550.75026219</c:v>
                </c:pt>
                <c:pt idx="53">
                  <c:v>4619550.75026219</c:v>
                </c:pt>
                <c:pt idx="54">
                  <c:v>4619550.75026219</c:v>
                </c:pt>
                <c:pt idx="55">
                  <c:v>4619550.75026219</c:v>
                </c:pt>
                <c:pt idx="56">
                  <c:v>4619550.75026219</c:v>
                </c:pt>
                <c:pt idx="57">
                  <c:v>4619550.75026219</c:v>
                </c:pt>
                <c:pt idx="58">
                  <c:v>4619550.75026219</c:v>
                </c:pt>
                <c:pt idx="59">
                  <c:v>4619550.75026219</c:v>
                </c:pt>
              </c:numCache>
            </c:numRef>
          </c:val>
          <c:smooth val="0"/>
        </c:ser>
        <c:ser>
          <c:idx val="3"/>
          <c:order val="3"/>
          <c:tx>
            <c:strRef>
              <c:f>"Stress-covered funding"</c:f>
              <c:strCache>
                <c:ptCount val="1"/>
                <c:pt idx="0">
                  <c:v>Stress-covered funding</c:v>
                </c:pt>
              </c:strCache>
            </c:strRef>
          </c:tx>
          <c:spPr>
            <a:solidFill>
              <a:srgbClr val="ffffff"/>
            </a:solidFill>
            <a:ln w="0">
              <a:solidFill>
                <a:srgbClr val="ffffff"/>
              </a:solidFill>
            </a:ln>
          </c:spPr>
          <c:marker>
            <c:symbol val="none"/>
          </c:marker>
          <c:dLbls>
            <c:txPr>
              <a:bodyPr wrap="square"/>
              <a:lstStyle/>
              <a:p>
                <a:pPr>
                  <a:defRPr b="0" sz="1000" strike="noStrike" u="none">
                    <a:solidFill>
                      <a:srgbClr val="000000"/>
                    </a:solidFill>
                    <a:uFillTx/>
                    <a:latin typeface="Arial"/>
                  </a:defRPr>
                </a:pPr>
              </a:p>
            </c:txPr>
            <c:dLblPos val="r"/>
            <c:showLegendKey val="0"/>
            <c:showVal val="0"/>
            <c:showCatName val="0"/>
            <c:showSerName val="0"/>
            <c:showPercent val="0"/>
            <c:separator>; </c:separator>
            <c:showLeaderLines val="1"/>
            <c:leaderLines>
              <c:spPr>
                <a:ln w="0">
                  <a:solidFill>
                    <a:srgbClr val="000000"/>
                  </a:solidFill>
                </a:ln>
              </c:spPr>
            </c:leaderLines>
            <c:extLst>
              <c:ext xmlns:c15="http://schemas.microsoft.com/office/drawing/2012/chart" uri="{CE6537A1-D6FC-4f65-9D91-7224C49458BB}">
                <c15:showLeaderLines val="1"/>
              </c:ext>
            </c:extLst>
          </c:dLbls>
          <c:cat>
            <c:strRef>
              <c:f>Breakeven!$C$53:$C$112</c:f>
              <c:strCache>
                <c:ptCount val="60"/>
                <c:pt idx="0">
                  <c:v>19</c:v>
                </c:pt>
                <c:pt idx="1">
                  <c:v>20</c:v>
                </c:pt>
                <c:pt idx="2">
                  <c:v>21</c:v>
                </c:pt>
                <c:pt idx="3">
                  <c:v>22</c:v>
                </c:pt>
                <c:pt idx="4">
                  <c:v>23</c:v>
                </c:pt>
                <c:pt idx="5">
                  <c:v>24</c:v>
                </c:pt>
                <c:pt idx="6">
                  <c:v>25</c:v>
                </c:pt>
                <c:pt idx="7">
                  <c:v>26</c:v>
                </c:pt>
                <c:pt idx="8">
                  <c:v>27</c:v>
                </c:pt>
                <c:pt idx="9">
                  <c:v>28</c:v>
                </c:pt>
                <c:pt idx="10">
                  <c:v>29</c:v>
                </c:pt>
                <c:pt idx="11">
                  <c:v>30</c:v>
                </c:pt>
                <c:pt idx="12">
                  <c:v>31</c:v>
                </c:pt>
                <c:pt idx="13">
                  <c:v>32</c:v>
                </c:pt>
                <c:pt idx="14">
                  <c:v>33</c:v>
                </c:pt>
                <c:pt idx="15">
                  <c:v>34</c:v>
                </c:pt>
                <c:pt idx="16">
                  <c:v>35</c:v>
                </c:pt>
                <c:pt idx="17">
                  <c:v>36</c:v>
                </c:pt>
                <c:pt idx="18">
                  <c:v>37</c:v>
                </c:pt>
                <c:pt idx="19">
                  <c:v>38</c:v>
                </c:pt>
                <c:pt idx="20">
                  <c:v>39</c:v>
                </c:pt>
                <c:pt idx="21">
                  <c:v>40</c:v>
                </c:pt>
                <c:pt idx="22">
                  <c:v>41</c:v>
                </c:pt>
                <c:pt idx="23">
                  <c:v>42</c:v>
                </c:pt>
                <c:pt idx="24">
                  <c:v>43</c:v>
                </c:pt>
                <c:pt idx="25">
                  <c:v>44</c:v>
                </c:pt>
                <c:pt idx="26">
                  <c:v>45</c:v>
                </c:pt>
                <c:pt idx="27">
                  <c:v>46</c:v>
                </c:pt>
                <c:pt idx="28">
                  <c:v>47</c:v>
                </c:pt>
                <c:pt idx="29">
                  <c:v>48</c:v>
                </c:pt>
                <c:pt idx="30">
                  <c:v>49</c:v>
                </c:pt>
                <c:pt idx="31">
                  <c:v>50</c:v>
                </c:pt>
                <c:pt idx="32">
                  <c:v>51</c:v>
                </c:pt>
                <c:pt idx="33">
                  <c:v>52</c:v>
                </c:pt>
                <c:pt idx="34">
                  <c:v>53</c:v>
                </c:pt>
                <c:pt idx="35">
                  <c:v>54</c:v>
                </c:pt>
                <c:pt idx="36">
                  <c:v>55</c:v>
                </c:pt>
                <c:pt idx="37">
                  <c:v>56</c:v>
                </c:pt>
                <c:pt idx="38">
                  <c:v>57</c:v>
                </c:pt>
                <c:pt idx="39">
                  <c:v>58</c:v>
                </c:pt>
                <c:pt idx="40">
                  <c:v>59</c:v>
                </c:pt>
                <c:pt idx="41">
                  <c:v>60</c:v>
                </c:pt>
                <c:pt idx="42">
                  <c:v>61</c:v>
                </c:pt>
                <c:pt idx="43">
                  <c:v>62</c:v>
                </c:pt>
                <c:pt idx="44">
                  <c:v>63</c:v>
                </c:pt>
                <c:pt idx="45">
                  <c:v>64</c:v>
                </c:pt>
                <c:pt idx="46">
                  <c:v>65</c:v>
                </c:pt>
                <c:pt idx="47">
                  <c:v>66</c:v>
                </c:pt>
                <c:pt idx="48">
                  <c:v>67</c:v>
                </c:pt>
                <c:pt idx="49">
                  <c:v>68</c:v>
                </c:pt>
                <c:pt idx="50">
                  <c:v>69</c:v>
                </c:pt>
                <c:pt idx="51">
                  <c:v>70</c:v>
                </c:pt>
                <c:pt idx="52">
                  <c:v>71</c:v>
                </c:pt>
                <c:pt idx="53">
                  <c:v>72</c:v>
                </c:pt>
                <c:pt idx="54">
                  <c:v>73</c:v>
                </c:pt>
                <c:pt idx="55">
                  <c:v>74</c:v>
                </c:pt>
                <c:pt idx="56">
                  <c:v>75</c:v>
                </c:pt>
                <c:pt idx="57">
                  <c:v>76</c:v>
                </c:pt>
                <c:pt idx="58">
                  <c:v>77</c:v>
                </c:pt>
                <c:pt idx="59">
                  <c:v>78</c:v>
                </c:pt>
              </c:strCache>
            </c:strRef>
          </c:cat>
          <c:val>
            <c:numRef>
              <c:f>Breakeven!$G$53:$G$112</c:f>
              <c:numCache>
                <c:formatCode>\€#,##0;"(€"#,##0\);\–</c:formatCode>
                <c:ptCount val="60"/>
                <c:pt idx="0">
                  <c:v>5829550.75026219</c:v>
                </c:pt>
                <c:pt idx="1">
                  <c:v>5829550.75026219</c:v>
                </c:pt>
                <c:pt idx="2">
                  <c:v>5829550.75026219</c:v>
                </c:pt>
                <c:pt idx="3">
                  <c:v>5829550.75026219</c:v>
                </c:pt>
                <c:pt idx="4">
                  <c:v>5829550.75026219</c:v>
                </c:pt>
                <c:pt idx="5">
                  <c:v>5829550.75026219</c:v>
                </c:pt>
                <c:pt idx="6">
                  <c:v>5829550.75026219</c:v>
                </c:pt>
                <c:pt idx="7">
                  <c:v>5829550.75026219</c:v>
                </c:pt>
                <c:pt idx="8">
                  <c:v>5829550.75026219</c:v>
                </c:pt>
                <c:pt idx="9">
                  <c:v>5829550.75026219</c:v>
                </c:pt>
                <c:pt idx="10">
                  <c:v>5829550.75026219</c:v>
                </c:pt>
                <c:pt idx="11">
                  <c:v>5829550.75026219</c:v>
                </c:pt>
                <c:pt idx="12">
                  <c:v>5829550.75026219</c:v>
                </c:pt>
                <c:pt idx="13">
                  <c:v>5829550.75026219</c:v>
                </c:pt>
                <c:pt idx="14">
                  <c:v>5829550.75026219</c:v>
                </c:pt>
                <c:pt idx="15">
                  <c:v>5829550.75026219</c:v>
                </c:pt>
                <c:pt idx="16">
                  <c:v>5829550.75026219</c:v>
                </c:pt>
                <c:pt idx="17">
                  <c:v>5829550.75026219</c:v>
                </c:pt>
                <c:pt idx="18">
                  <c:v>5829550.75026219</c:v>
                </c:pt>
                <c:pt idx="19">
                  <c:v>5829550.75026219</c:v>
                </c:pt>
                <c:pt idx="20">
                  <c:v>5829550.75026219</c:v>
                </c:pt>
                <c:pt idx="21">
                  <c:v>5829550.75026219</c:v>
                </c:pt>
                <c:pt idx="22">
                  <c:v>5829550.75026219</c:v>
                </c:pt>
                <c:pt idx="23">
                  <c:v>5829550.75026219</c:v>
                </c:pt>
                <c:pt idx="24">
                  <c:v>5829550.75026219</c:v>
                </c:pt>
                <c:pt idx="25">
                  <c:v>5829550.75026219</c:v>
                </c:pt>
                <c:pt idx="26">
                  <c:v>5829550.75026219</c:v>
                </c:pt>
                <c:pt idx="27">
                  <c:v>5829550.75026219</c:v>
                </c:pt>
                <c:pt idx="28">
                  <c:v>5829550.75026219</c:v>
                </c:pt>
                <c:pt idx="29">
                  <c:v>5829550.75026219</c:v>
                </c:pt>
                <c:pt idx="30">
                  <c:v>5829550.75026219</c:v>
                </c:pt>
                <c:pt idx="31">
                  <c:v>5829550.75026219</c:v>
                </c:pt>
                <c:pt idx="32">
                  <c:v>5829550.75026219</c:v>
                </c:pt>
                <c:pt idx="33">
                  <c:v>5829550.75026219</c:v>
                </c:pt>
                <c:pt idx="34">
                  <c:v>5829550.75026219</c:v>
                </c:pt>
                <c:pt idx="35">
                  <c:v>5829550.75026219</c:v>
                </c:pt>
                <c:pt idx="36">
                  <c:v>5829550.75026219</c:v>
                </c:pt>
                <c:pt idx="37">
                  <c:v>5829550.75026219</c:v>
                </c:pt>
                <c:pt idx="38">
                  <c:v>5829550.75026219</c:v>
                </c:pt>
                <c:pt idx="39">
                  <c:v>5829550.75026219</c:v>
                </c:pt>
                <c:pt idx="40">
                  <c:v>5829550.75026219</c:v>
                </c:pt>
                <c:pt idx="41">
                  <c:v>5829550.75026219</c:v>
                </c:pt>
                <c:pt idx="42">
                  <c:v>5829550.75026219</c:v>
                </c:pt>
                <c:pt idx="43">
                  <c:v>5829550.75026219</c:v>
                </c:pt>
                <c:pt idx="44">
                  <c:v>5829550.75026219</c:v>
                </c:pt>
                <c:pt idx="45">
                  <c:v>5829550.75026219</c:v>
                </c:pt>
                <c:pt idx="46">
                  <c:v>5829550.75026219</c:v>
                </c:pt>
                <c:pt idx="47">
                  <c:v>5829550.75026219</c:v>
                </c:pt>
                <c:pt idx="48">
                  <c:v>5829550.75026219</c:v>
                </c:pt>
                <c:pt idx="49">
                  <c:v>5829550.75026219</c:v>
                </c:pt>
                <c:pt idx="50">
                  <c:v>5829550.75026219</c:v>
                </c:pt>
                <c:pt idx="51">
                  <c:v>5829550.75026219</c:v>
                </c:pt>
                <c:pt idx="52">
                  <c:v>5829550.75026219</c:v>
                </c:pt>
                <c:pt idx="53">
                  <c:v>5829550.75026219</c:v>
                </c:pt>
                <c:pt idx="54">
                  <c:v>5829550.75026219</c:v>
                </c:pt>
                <c:pt idx="55">
                  <c:v>5829550.75026219</c:v>
                </c:pt>
                <c:pt idx="56">
                  <c:v>5829550.75026219</c:v>
                </c:pt>
                <c:pt idx="57">
                  <c:v>5829550.75026219</c:v>
                </c:pt>
                <c:pt idx="58">
                  <c:v>5829550.75026219</c:v>
                </c:pt>
                <c:pt idx="59">
                  <c:v>5829550.75026219</c:v>
                </c:pt>
              </c:numCache>
            </c:numRef>
          </c:val>
          <c:smooth val="0"/>
        </c:ser>
        <c:hiLowLines>
          <c:spPr>
            <a:ln w="0">
              <a:noFill/>
            </a:ln>
          </c:spPr>
        </c:hiLowLines>
        <c:marker val="0"/>
        <c:axId val="39616791"/>
        <c:axId val="27528215"/>
      </c:lineChart>
      <c:catAx>
        <c:axId val="39616791"/>
        <c:scaling>
          <c:orientation val="minMax"/>
        </c:scaling>
        <c:delete val="0"/>
        <c:axPos val="b"/>
        <c:title>
          <c:tx>
            <c:rich>
              <a:bodyPr rot="0"/>
              <a:lstStyle/>
              <a:p>
                <a:pPr>
                  <a:defRPr b="0" sz="1300" strike="noStrike" u="none">
                    <a:uFillTx/>
                    <a:latin typeface="Arial"/>
                  </a:defRPr>
                </a:pPr>
                <a:r>
                  <a:rPr b="1" sz="1000" strike="noStrike" u="none">
                    <a:solidFill>
                      <a:srgbClr val="000000"/>
                    </a:solidFill>
                    <a:uFillTx/>
                    <a:latin typeface="Calibri"/>
                  </a:rPr>
                  <a:t>Project month</a:t>
                </a:r>
              </a:p>
            </c:rich>
          </c:tx>
          <c:overlay val="0"/>
          <c:spPr>
            <a:noFill/>
            <a:ln w="0">
              <a:noFill/>
            </a:ln>
          </c:spPr>
        </c:title>
        <c:numFmt formatCode="General" sourceLinked="0"/>
        <c:majorTickMark val="none"/>
        <c:minorTickMark val="none"/>
        <c:tickLblPos val="nextTo"/>
        <c:spPr>
          <a:ln w="0">
            <a:solidFill>
              <a:srgbClr val="b3b3b3"/>
            </a:solidFill>
          </a:ln>
        </c:spPr>
        <c:txPr>
          <a:bodyPr/>
          <a:lstStyle/>
          <a:p>
            <a:pPr>
              <a:defRPr b="0" sz="1000" strike="noStrike" u="none">
                <a:solidFill>
                  <a:srgbClr val="000000"/>
                </a:solidFill>
                <a:uFillTx/>
                <a:latin typeface="Calibri"/>
              </a:defRPr>
            </a:pPr>
          </a:p>
        </c:txPr>
        <c:crossAx val="27528215"/>
        <c:crosses val="autoZero"/>
        <c:auto val="1"/>
        <c:lblAlgn val="ctr"/>
        <c:lblOffset val="100"/>
        <c:noMultiLvlLbl val="0"/>
      </c:catAx>
      <c:valAx>
        <c:axId val="27528215"/>
        <c:scaling>
          <c:orientation val="minMax"/>
        </c:scaling>
        <c:delete val="0"/>
        <c:axPos val="l"/>
        <c:majorGridlines>
          <c:spPr>
            <a:ln w="0">
              <a:solidFill>
                <a:srgbClr val="b3b3b3"/>
              </a:solidFill>
            </a:ln>
          </c:spPr>
        </c:majorGridlines>
        <c:title>
          <c:tx>
            <c:rich>
              <a:bodyPr rot="-5400000"/>
              <a:lstStyle/>
              <a:p>
                <a:pPr>
                  <a:defRPr b="0" sz="1300" strike="noStrike" u="none">
                    <a:uFillTx/>
                    <a:latin typeface="Arial"/>
                  </a:defRPr>
                </a:pPr>
                <a:r>
                  <a:rPr b="1" sz="1000" strike="noStrike" u="none">
                    <a:solidFill>
                      <a:srgbClr val="000000"/>
                    </a:solidFill>
                    <a:uFillTx/>
                    <a:latin typeface="Calibri"/>
                  </a:rPr>
                  <a:t>EUR</a:t>
                </a:r>
              </a:p>
            </c:rich>
          </c:tx>
          <c:overlay val="0"/>
          <c:spPr>
            <a:noFill/>
            <a:ln w="0">
              <a:noFill/>
            </a:ln>
          </c:spPr>
        </c:title>
        <c:numFmt formatCode="#,##0" sourceLinked="0"/>
        <c:majorTickMark val="none"/>
        <c:minorTickMark val="none"/>
        <c:tickLblPos val="nextTo"/>
        <c:spPr>
          <a:ln w="0">
            <a:solidFill>
              <a:srgbClr val="b3b3b3"/>
            </a:solidFill>
          </a:ln>
        </c:spPr>
        <c:txPr>
          <a:bodyPr/>
          <a:lstStyle/>
          <a:p>
            <a:pPr>
              <a:defRPr b="0" sz="1000" strike="noStrike" u="none">
                <a:solidFill>
                  <a:srgbClr val="000000"/>
                </a:solidFill>
                <a:uFillTx/>
                <a:latin typeface="Calibri"/>
              </a:defRPr>
            </a:pPr>
          </a:p>
        </c:txPr>
        <c:crossAx val="39616791"/>
        <c:crosses val="autoZero"/>
        <c:crossBetween val="between"/>
      </c:valAx>
      <c:spPr>
        <a:solidFill>
          <a:srgbClr val="ffffff"/>
        </a:solidFill>
        <a:ln w="0">
          <a:noFill/>
        </a:ln>
      </c:spPr>
    </c:plotArea>
    <c:legend>
      <c:legendPos val="r"/>
      <c:overlay val="0"/>
      <c:spPr>
        <a:noFill/>
        <a:ln w="0">
          <a:noFill/>
        </a:ln>
      </c:spPr>
      <c:txPr>
        <a:bodyPr/>
        <a:lstStyle/>
        <a:p>
          <a:pPr>
            <a:defRPr b="0" sz="1000" strike="noStrike" u="none">
              <a:solidFill>
                <a:srgbClr val="000000"/>
              </a:solidFill>
              <a:uFillTx/>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21</xdr:row>
      <xdr:rowOff>0</xdr:rowOff>
    </xdr:from>
    <xdr:to>
      <xdr:col>15</xdr:col>
      <xdr:colOff>390240</xdr:colOff>
      <xdr:row>34</xdr:row>
      <xdr:rowOff>244440</xdr:rowOff>
    </xdr:to>
    <xdr:graphicFrame>
      <xdr:nvGraphicFramePr>
        <xdr:cNvPr id="0" name="Chart 1"/>
        <xdr:cNvGraphicFramePr/>
      </xdr:nvGraphicFramePr>
      <xdr:xfrm>
        <a:off x="11441520" y="6705720"/>
        <a:ext cx="9718920" cy="395892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68A58"/>
    <pageSetUpPr fitToPage="true"/>
  </sheetPr>
  <dimension ref="B1:N11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59765625" defaultRowHeight="15" customHeight="true" zeroHeight="false" outlineLevelRow="0" outlineLevelCol="0"/>
  <cols>
    <col collapsed="false" customWidth="true" hidden="false" outlineLevel="0" max="1" min="1" style="1" width="3"/>
    <col collapsed="false" customWidth="true" hidden="false" outlineLevel="0" max="2" min="2" style="1" width="32"/>
    <col collapsed="false" customWidth="true" hidden="false" outlineLevel="0" max="14" min="3" style="1" width="18"/>
  </cols>
  <sheetData>
    <row r="1" customFormat="false" ht="19.5" hidden="false" customHeight="true" outlineLevel="0" collapsed="false"/>
    <row r="2" customFormat="false" ht="33.75" hidden="false" customHeight="true" outlineLevel="0" collapsed="false">
      <c r="B2" s="2" t="s">
        <v>0</v>
      </c>
      <c r="C2" s="2"/>
      <c r="D2" s="2"/>
      <c r="E2" s="2"/>
      <c r="F2" s="2"/>
      <c r="G2" s="2"/>
      <c r="H2" s="2"/>
      <c r="I2" s="2"/>
      <c r="J2" s="2"/>
      <c r="K2" s="2"/>
      <c r="L2" s="2"/>
      <c r="M2" s="2"/>
      <c r="N2" s="2"/>
    </row>
    <row r="3" customFormat="false" ht="33.75" hidden="false" customHeight="true" outlineLevel="0" collapsed="false">
      <c r="B3" s="3" t="s">
        <v>1</v>
      </c>
      <c r="C3" s="3"/>
      <c r="D3" s="3"/>
      <c r="E3" s="3"/>
      <c r="F3" s="3"/>
      <c r="G3" s="3"/>
      <c r="H3" s="3"/>
      <c r="I3" s="3"/>
      <c r="J3" s="3"/>
      <c r="K3" s="3"/>
      <c r="L3" s="3"/>
      <c r="M3" s="3"/>
      <c r="N3" s="3"/>
    </row>
    <row r="4" customFormat="false" ht="19.5" hidden="false" customHeight="true" outlineLevel="0" collapsed="false"/>
    <row r="5" customFormat="false" ht="19.5" hidden="false" customHeight="true" outlineLevel="0" collapsed="false">
      <c r="B5" s="4" t="s">
        <v>2</v>
      </c>
      <c r="C5" s="4"/>
      <c r="D5" s="4"/>
      <c r="E5" s="4"/>
      <c r="F5" s="4" t="s">
        <v>3</v>
      </c>
      <c r="G5" s="4"/>
      <c r="H5" s="4"/>
      <c r="I5" s="4"/>
      <c r="J5" s="4" t="s">
        <v>4</v>
      </c>
      <c r="K5" s="4"/>
      <c r="L5" s="4"/>
      <c r="M5" s="4"/>
      <c r="N5" s="4"/>
    </row>
    <row r="6" customFormat="false" ht="19.5" hidden="false" customHeight="true" outlineLevel="0" collapsed="false">
      <c r="B6" s="5" t="n">
        <f aca="false">IF(ISNUMBER(F14),ROUNDUP(F14,0),"Not feasible")</f>
        <v>135</v>
      </c>
      <c r="C6" s="5"/>
      <c r="D6" s="5"/>
      <c r="E6" s="5"/>
      <c r="F6" s="6" t="n">
        <f aca="false">C45</f>
        <v>5</v>
      </c>
      <c r="G6" s="6"/>
      <c r="H6" s="6"/>
      <c r="I6" s="6"/>
      <c r="J6" s="6" t="n">
        <f aca="false">C47</f>
        <v>53</v>
      </c>
      <c r="K6" s="6"/>
      <c r="L6" s="6"/>
      <c r="M6" s="6"/>
      <c r="N6" s="6"/>
    </row>
    <row r="7" customFormat="false" ht="54" hidden="false" customHeight="true" outlineLevel="0" collapsed="false">
      <c r="B7" s="5"/>
      <c r="C7" s="5"/>
      <c r="D7" s="5"/>
      <c r="E7" s="5"/>
      <c r="F7" s="6"/>
      <c r="G7" s="6"/>
      <c r="H7" s="6"/>
      <c r="I7" s="6"/>
      <c r="J7" s="6"/>
      <c r="K7" s="6"/>
      <c r="L7" s="6"/>
      <c r="M7" s="6"/>
      <c r="N7" s="6"/>
    </row>
    <row r="8" customFormat="false" ht="19.5" hidden="false" customHeight="true" outlineLevel="0" collapsed="false">
      <c r="B8" s="7" t="str">
        <f aca="false">IF(ISNUMBER(F14),TEXT(ROUNDUP(F14,0)/Inputs!$D$16,"0.00%")&amp;" of annual capacity","Threshold not feasible under current inputs: contribution per suite-week is not positive or the requirement exceeds capacity")</f>
        <v>16.88% of annual capacity</v>
      </c>
      <c r="C8" s="7"/>
      <c r="D8" s="7"/>
      <c r="E8" s="7"/>
      <c r="F8" s="7" t="str">
        <f aca="false">"Project month "&amp;D45&amp;" · cumulative free cash "&amp;TEXT(E45,"€#,##0")</f>
        <v>Project month 23 · cumulative free cash €61,089</v>
      </c>
      <c r="G8" s="7"/>
      <c r="H8" s="7"/>
      <c r="I8" s="7"/>
      <c r="J8" s="7" t="str">
        <f aca="false">"Project month "&amp;D47&amp;" · total startup spend "&amp;TEXT(E47,"€#,##0")</f>
        <v>Project month 71 · total startup spend €3,819,551</v>
      </c>
      <c r="K8" s="7"/>
      <c r="L8" s="7"/>
      <c r="M8" s="7"/>
      <c r="N8" s="7"/>
    </row>
    <row r="9" customFormat="false" ht="19.5" hidden="false" customHeight="true" outlineLevel="0" collapsed="false"/>
    <row r="10" customFormat="false" ht="19.5" hidden="false" customHeight="true" outlineLevel="0" collapsed="false"/>
    <row r="11" customFormat="false" ht="19.5" hidden="false" customHeight="true" outlineLevel="0" collapsed="false">
      <c r="B11" s="8" t="s">
        <v>5</v>
      </c>
      <c r="C11" s="9"/>
      <c r="D11" s="9"/>
      <c r="E11" s="9"/>
      <c r="F11" s="9"/>
      <c r="G11" s="9"/>
      <c r="H11" s="8" t="s">
        <v>6</v>
      </c>
      <c r="I11" s="9"/>
      <c r="J11" s="9"/>
      <c r="K11" s="9"/>
      <c r="L11" s="9"/>
      <c r="M11" s="9"/>
      <c r="N11" s="9"/>
    </row>
    <row r="12" customFormat="false" ht="30" hidden="false" customHeight="true" outlineLevel="0" collapsed="false">
      <c r="B12" s="10" t="s">
        <v>7</v>
      </c>
      <c r="C12" s="11" t="n">
        <f aca="false">'Five Year'!D8</f>
        <v>6500</v>
      </c>
      <c r="D12" s="9"/>
      <c r="E12" s="12" t="s">
        <v>8</v>
      </c>
      <c r="F12" s="13" t="n">
        <f aca="false">C19+C20</f>
        <v>544066.3852063</v>
      </c>
      <c r="G12" s="9"/>
      <c r="H12" s="14" t="s">
        <v>9</v>
      </c>
      <c r="I12" s="14" t="s">
        <v>10</v>
      </c>
      <c r="J12" s="14" t="s">
        <v>11</v>
      </c>
      <c r="K12" s="14" t="s">
        <v>12</v>
      </c>
      <c r="L12" s="14" t="s">
        <v>13</v>
      </c>
      <c r="M12" s="15" t="s">
        <v>14</v>
      </c>
      <c r="N12" s="9"/>
    </row>
    <row r="13" customFormat="false" ht="30" hidden="false" customHeight="true" outlineLevel="0" collapsed="false">
      <c r="B13" s="10" t="s">
        <v>15</v>
      </c>
      <c r="C13" s="11" t="n">
        <f aca="false">'Five Year'!D11</f>
        <v>1153.36676795654</v>
      </c>
      <c r="D13" s="9"/>
      <c r="E13" s="12" t="s">
        <v>16</v>
      </c>
      <c r="F13" s="13" t="n">
        <f aca="false">C12*(1-C14)-C13-C12*C16-C12*C17</f>
        <v>4046.63323204346</v>
      </c>
      <c r="G13" s="9"/>
      <c r="H13" s="9" t="s">
        <v>17</v>
      </c>
      <c r="I13" s="16" t="n">
        <f aca="false">'Five Year'!D32*Inputs!$D$16</f>
        <v>134.449146737116</v>
      </c>
      <c r="J13" s="9" t="n">
        <f aca="false">ROUNDUP(I13,0)</f>
        <v>135</v>
      </c>
      <c r="K13" s="17" t="n">
        <f aca="false">J13/Inputs!$D$16</f>
        <v>0.16875</v>
      </c>
      <c r="L13" s="16" t="n">
        <f aca="false">'Five Year'!D30*Inputs!$D$16</f>
        <v>119.139496771639</v>
      </c>
      <c r="M13" s="18" t="n">
        <f aca="false">'Five Year'!D31</f>
        <v>3242.69797923435</v>
      </c>
      <c r="N13" s="9"/>
    </row>
    <row r="14" customFormat="false" ht="19.5" hidden="false" customHeight="true" outlineLevel="0" collapsed="false">
      <c r="B14" s="10" t="s">
        <v>18</v>
      </c>
      <c r="C14" s="19" t="n">
        <f aca="false">'Five Year'!D48</f>
        <v>0.12</v>
      </c>
      <c r="D14" s="9"/>
      <c r="E14" s="12" t="s">
        <v>19</v>
      </c>
      <c r="F14" s="20" t="n">
        <f aca="false">IF(OR(MIN(F27:F30)&lt;=0,MAX(C27:C30)&lt;=0,MAX(C27:C30)&gt;C22),"Not feasible",MAX(C27:C30))</f>
        <v>134.449146737116</v>
      </c>
      <c r="G14" s="9"/>
      <c r="H14" s="9" t="s">
        <v>20</v>
      </c>
      <c r="I14" s="16" t="n">
        <f aca="false">Average!D32*Inputs!$D$16</f>
        <v>126.017892579354</v>
      </c>
      <c r="J14" s="9" t="n">
        <f aca="false">ROUNDUP(I14,0)</f>
        <v>127</v>
      </c>
      <c r="K14" s="17" t="n">
        <f aca="false">J14/Inputs!$D$16</f>
        <v>0.15875</v>
      </c>
      <c r="L14" s="16" t="n">
        <f aca="false">Average!D30*Inputs!$D$16</f>
        <v>112.05349174098</v>
      </c>
      <c r="M14" s="18" t="n">
        <f aca="false">Average!D31</f>
        <v>2912.48130840698</v>
      </c>
      <c r="N14" s="9"/>
    </row>
    <row r="15" customFormat="false" ht="19.5" hidden="false" customHeight="true" outlineLevel="0" collapsed="false">
      <c r="B15" s="10" t="s">
        <v>21</v>
      </c>
      <c r="C15" s="19" t="n">
        <f aca="false">Inputs!D51</f>
        <v>0.08</v>
      </c>
      <c r="D15" s="9"/>
      <c r="E15" s="12" t="s">
        <v>22</v>
      </c>
      <c r="F15" s="21" t="n">
        <f aca="false">IF(ISNUMBER(F14),ROUNDUP(F14,0),"Not feasible")</f>
        <v>135</v>
      </c>
      <c r="G15" s="9"/>
      <c r="H15" s="9" t="s">
        <v>23</v>
      </c>
      <c r="I15" s="16" t="n">
        <f aca="false">'High Performance'!D32*Inputs!$D$16</f>
        <v>119.149059853421</v>
      </c>
      <c r="J15" s="9" t="n">
        <f aca="false">ROUNDUP(I15,0)</f>
        <v>120</v>
      </c>
      <c r="K15" s="17" t="n">
        <f aca="false">J15/Inputs!$D$16</f>
        <v>0.15</v>
      </c>
      <c r="L15" s="16" t="n">
        <f aca="false">'High Performance'!D30*Inputs!$D$16</f>
        <v>106.242418037716</v>
      </c>
      <c r="M15" s="18" t="n">
        <f aca="false">'High Performance'!D31</f>
        <v>2717.91126721806</v>
      </c>
      <c r="N15" s="9"/>
    </row>
    <row r="16" customFormat="false" ht="19.5" hidden="false" customHeight="true" outlineLevel="0" collapsed="false">
      <c r="B16" s="10" t="s">
        <v>24</v>
      </c>
      <c r="C16" s="19" t="n">
        <f aca="false">Inputs!D52</f>
        <v>0.03</v>
      </c>
      <c r="D16" s="9"/>
      <c r="E16" s="12" t="s">
        <v>25</v>
      </c>
      <c r="F16" s="13" t="n">
        <f aca="false">C32</f>
        <v>-1817.53211247659</v>
      </c>
      <c r="G16" s="9"/>
      <c r="H16" s="9"/>
      <c r="I16" s="9"/>
      <c r="J16" s="9"/>
      <c r="K16" s="9"/>
      <c r="L16" s="9"/>
      <c r="M16" s="9"/>
      <c r="N16" s="9"/>
    </row>
    <row r="17" customFormat="false" ht="19.5" hidden="false" customHeight="true" outlineLevel="0" collapsed="false">
      <c r="B17" s="10" t="s">
        <v>26</v>
      </c>
      <c r="C17" s="19" t="n">
        <f aca="false">Inputs!D53</f>
        <v>0.05</v>
      </c>
      <c r="D17" s="9"/>
      <c r="E17" s="12" t="s">
        <v>27</v>
      </c>
      <c r="F17" s="13" t="n">
        <f aca="false">C33</f>
        <v>2229.10111956688</v>
      </c>
      <c r="G17" s="9"/>
      <c r="H17" s="9"/>
      <c r="I17" s="9"/>
      <c r="J17" s="9"/>
      <c r="K17" s="9"/>
      <c r="L17" s="9"/>
      <c r="M17" s="9"/>
      <c r="N17" s="9"/>
    </row>
    <row r="18" customFormat="false" ht="33.75" hidden="false" customHeight="true" outlineLevel="0" collapsed="false">
      <c r="B18" s="10" t="s">
        <v>28</v>
      </c>
      <c r="C18" s="19" t="n">
        <f aca="false">Inputs!D54</f>
        <v>0.3</v>
      </c>
      <c r="D18" s="9"/>
      <c r="E18" s="12" t="s">
        <v>29</v>
      </c>
      <c r="F18" s="22" t="n">
        <f aca="false">F15*C12</f>
        <v>877500</v>
      </c>
      <c r="G18" s="9"/>
      <c r="H18" s="23" t="s">
        <v>30</v>
      </c>
      <c r="I18" s="24" t="n">
        <f aca="false">MAX(($C$19+$C$20+$C$21)/($C$12*(1-$C$14)-$C$13-$C$12*$C$16/10),($C$19+$C$21)/($C$12*(1-$C$14-$C$15)-$C$13-$C$12*$C$16/10))</f>
        <v>184.635970640574</v>
      </c>
      <c r="J18" s="9" t="n">
        <f aca="false">ROUNDUP(I18,0)</f>
        <v>185</v>
      </c>
      <c r="K18" s="17" t="n">
        <f aca="false">J18/Inputs!$D$16</f>
        <v>0.23125</v>
      </c>
      <c r="L18" s="9"/>
      <c r="M18" s="9"/>
      <c r="N18" s="9"/>
    </row>
    <row r="19" customFormat="false" ht="25.5" hidden="false" customHeight="true" outlineLevel="0" collapsed="false">
      <c r="B19" s="10" t="s">
        <v>31</v>
      </c>
      <c r="C19" s="11" t="n">
        <f aca="false">'Five Year'!D15+'Five Year'!D16</f>
        <v>444066.3852063</v>
      </c>
      <c r="D19" s="9"/>
      <c r="E19" s="12" t="s">
        <v>32</v>
      </c>
      <c r="F19" s="13" t="n">
        <f aca="false">C35</f>
        <v>-225701.371604489</v>
      </c>
      <c r="G19" s="9"/>
      <c r="H19" s="9"/>
      <c r="I19" s="9"/>
      <c r="J19" s="9"/>
      <c r="K19" s="9"/>
      <c r="L19" s="9"/>
      <c r="M19" s="9"/>
      <c r="N19" s="9"/>
    </row>
    <row r="20" customFormat="false" ht="19.5" hidden="false" customHeight="true" outlineLevel="0" collapsed="false">
      <c r="B20" s="10" t="s">
        <v>33</v>
      </c>
      <c r="C20" s="11" t="n">
        <f aca="false">Inputs!D50</f>
        <v>100000</v>
      </c>
      <c r="D20" s="9"/>
      <c r="E20" s="12" t="s">
        <v>34</v>
      </c>
      <c r="F20" s="13" t="n">
        <f aca="false">C36</f>
        <v>0</v>
      </c>
      <c r="G20" s="9"/>
      <c r="H20" s="9"/>
      <c r="I20" s="9"/>
      <c r="J20" s="9"/>
      <c r="K20" s="9"/>
      <c r="L20" s="9"/>
      <c r="M20" s="9"/>
      <c r="N20" s="9"/>
    </row>
    <row r="21" customFormat="false" ht="33.75" hidden="false" customHeight="true" outlineLevel="0" collapsed="false">
      <c r="B21" s="25" t="s">
        <v>35</v>
      </c>
      <c r="C21" s="11" t="n">
        <f aca="false">'Asset Register'!G25</f>
        <v>295497.972724056</v>
      </c>
      <c r="D21" s="9"/>
      <c r="E21" s="9"/>
      <c r="F21" s="9"/>
      <c r="G21" s="9"/>
      <c r="H21" s="9"/>
      <c r="I21" s="9"/>
      <c r="J21" s="9"/>
      <c r="K21" s="9"/>
      <c r="L21" s="9"/>
      <c r="M21" s="9"/>
      <c r="N21" s="9"/>
    </row>
    <row r="22" customFormat="false" ht="25.5" hidden="false" customHeight="true" outlineLevel="0" collapsed="false">
      <c r="B22" s="25" t="s">
        <v>36</v>
      </c>
      <c r="C22" s="26" t="n">
        <f aca="false">Inputs!D16</f>
        <v>800</v>
      </c>
      <c r="D22" s="9"/>
      <c r="E22" s="9"/>
      <c r="F22" s="9"/>
      <c r="G22" s="9"/>
      <c r="H22" s="9"/>
      <c r="I22" s="9"/>
      <c r="J22" s="9"/>
      <c r="K22" s="9"/>
      <c r="L22" s="9"/>
      <c r="M22" s="9"/>
      <c r="N22" s="9"/>
    </row>
    <row r="23" customFormat="false" ht="30" hidden="false" customHeight="true" outlineLevel="0" collapsed="false">
      <c r="B23" s="25" t="s">
        <v>37</v>
      </c>
      <c r="C23" s="26" t="n">
        <f aca="false">COUNT(Development!$D$5:$U$5)</f>
        <v>18</v>
      </c>
      <c r="D23" s="9"/>
      <c r="E23" s="9"/>
      <c r="F23" s="9"/>
      <c r="G23" s="9"/>
      <c r="H23" s="9"/>
      <c r="I23" s="9"/>
      <c r="J23" s="9"/>
      <c r="K23" s="9"/>
      <c r="L23" s="9"/>
      <c r="M23" s="9"/>
      <c r="N23" s="9"/>
    </row>
    <row r="24" customFormat="false" ht="19.5" hidden="false" customHeight="true" outlineLevel="0" collapsed="false">
      <c r="B24" s="9"/>
      <c r="C24" s="9"/>
      <c r="D24" s="9"/>
      <c r="E24" s="9"/>
      <c r="F24" s="9"/>
      <c r="G24" s="9"/>
      <c r="H24" s="9"/>
      <c r="I24" s="9"/>
      <c r="J24" s="9"/>
      <c r="K24" s="9"/>
      <c r="L24" s="9"/>
      <c r="M24" s="9"/>
      <c r="N24" s="9"/>
    </row>
    <row r="25" customFormat="false" ht="19.5" hidden="false" customHeight="true" outlineLevel="0" collapsed="false">
      <c r="B25" s="8" t="s">
        <v>38</v>
      </c>
      <c r="C25" s="9"/>
      <c r="D25" s="9"/>
      <c r="E25" s="9"/>
      <c r="F25" s="9"/>
      <c r="G25" s="9"/>
      <c r="H25" s="9"/>
      <c r="I25" s="9"/>
      <c r="J25" s="9"/>
      <c r="K25" s="9"/>
      <c r="L25" s="9"/>
      <c r="M25" s="9"/>
      <c r="N25" s="9"/>
    </row>
    <row r="26" customFormat="false" ht="31.5" hidden="false" customHeight="true" outlineLevel="0" collapsed="false">
      <c r="B26" s="15" t="s">
        <v>9</v>
      </c>
      <c r="C26" s="14" t="s">
        <v>39</v>
      </c>
      <c r="D26" s="15" t="s">
        <v>40</v>
      </c>
      <c r="E26" s="15" t="s">
        <v>41</v>
      </c>
      <c r="F26" s="27" t="s">
        <v>42</v>
      </c>
      <c r="G26" s="9"/>
      <c r="H26" s="9"/>
      <c r="I26" s="9"/>
      <c r="J26" s="9"/>
      <c r="K26" s="9"/>
      <c r="L26" s="9"/>
      <c r="M26" s="9"/>
      <c r="N26" s="9"/>
    </row>
    <row r="27" customFormat="false" ht="19.5" hidden="false" customHeight="true" outlineLevel="0" collapsed="false">
      <c r="B27" s="9" t="s">
        <v>43</v>
      </c>
      <c r="C27" s="16" t="n">
        <f aca="false">(C19+C20)/(C12*(1-C14)-C13-C12*(C16+C17))</f>
        <v>134.449146737116</v>
      </c>
      <c r="D27" s="9" t="s">
        <v>33</v>
      </c>
      <c r="E27" s="9" t="s">
        <v>44</v>
      </c>
      <c r="F27" s="28" t="n">
        <f aca="false">C12*(1-C14)-C13-C12*(C16+C17)</f>
        <v>4046.63323204346</v>
      </c>
      <c r="G27" s="9"/>
      <c r="H27" s="9"/>
      <c r="I27" s="9"/>
      <c r="J27" s="9"/>
      <c r="K27" s="9"/>
      <c r="L27" s="9"/>
      <c r="M27" s="9"/>
      <c r="N27" s="9"/>
    </row>
    <row r="28" customFormat="false" ht="19.5" hidden="false" customHeight="true" outlineLevel="0" collapsed="false">
      <c r="B28" s="9" t="s">
        <v>45</v>
      </c>
      <c r="C28" s="16" t="n">
        <f aca="false">C19/(C12*(1-C14-C15)-C13-C12*(C16+C17))</f>
        <v>125.91793815457</v>
      </c>
      <c r="D28" s="9" t="s">
        <v>46</v>
      </c>
      <c r="E28" s="9" t="s">
        <v>44</v>
      </c>
      <c r="F28" s="28" t="n">
        <f aca="false">C12*(1-C14-C15)-C13-C12*(C16+C17)</f>
        <v>3526.63323204346</v>
      </c>
      <c r="G28" s="9"/>
      <c r="H28" s="9"/>
      <c r="I28" s="9"/>
      <c r="J28" s="9"/>
      <c r="K28" s="9"/>
      <c r="L28" s="9"/>
      <c r="M28" s="9"/>
      <c r="N28" s="9"/>
    </row>
    <row r="29" customFormat="false" ht="19.5" hidden="false" customHeight="true" outlineLevel="0" collapsed="false">
      <c r="B29" s="9" t="s">
        <v>47</v>
      </c>
      <c r="C29" s="16" t="n">
        <f aca="false">((1-C18)*(C19+C20)-C18*C21)/((1-C18)*(C12*(1-C14)-C13)+C18*(C12*C16/10)-C12*(C16+C17))</f>
        <v>108.927422826946</v>
      </c>
      <c r="D29" s="9" t="s">
        <v>33</v>
      </c>
      <c r="E29" s="9" t="s">
        <v>48</v>
      </c>
      <c r="F29" s="28" t="n">
        <f aca="false">(1-C18)*(C12*(1-C14)-C13)+C18*(C12*C16/10)-C12*(C16+C17)</f>
        <v>2682.49326243042</v>
      </c>
      <c r="G29" s="9"/>
      <c r="H29" s="9"/>
      <c r="I29" s="9"/>
      <c r="J29" s="9"/>
      <c r="K29" s="9"/>
      <c r="L29" s="9"/>
      <c r="M29" s="9"/>
      <c r="N29" s="9"/>
    </row>
    <row r="30" customFormat="false" ht="19.5" hidden="false" customHeight="true" outlineLevel="0" collapsed="false">
      <c r="B30" s="9" t="s">
        <v>49</v>
      </c>
      <c r="C30" s="16" t="n">
        <f aca="false">((1-C18)*C19-C18*C21)/((1-C18)*(C12*(1-C14-C15)-C13)+C18*(C12*C16/10)-C12*(C16+C17))</f>
        <v>95.8368443108044</v>
      </c>
      <c r="D30" s="9" t="s">
        <v>46</v>
      </c>
      <c r="E30" s="9" t="s">
        <v>48</v>
      </c>
      <c r="F30" s="28" t="n">
        <f aca="false">(1-C18)*(C12*(1-C14-C15)-C13)+C18*(C12*C16/10)-C12*(C16+C17)</f>
        <v>2318.49326243042</v>
      </c>
      <c r="G30" s="9"/>
      <c r="H30" s="9"/>
      <c r="I30" s="9"/>
      <c r="J30" s="9"/>
      <c r="K30" s="9"/>
      <c r="L30" s="9"/>
      <c r="M30" s="9"/>
      <c r="N30" s="9"/>
    </row>
    <row r="31" customFormat="false" ht="30" hidden="false" customHeight="true" outlineLevel="0" collapsed="false">
      <c r="B31" s="9"/>
      <c r="C31" s="9"/>
      <c r="D31" s="9"/>
      <c r="E31" s="29" t="s">
        <v>50</v>
      </c>
      <c r="F31" s="30" t="n">
        <f aca="false">MIN(F27:F30)</f>
        <v>2318.49326243042</v>
      </c>
      <c r="G31" s="9"/>
      <c r="H31" s="9"/>
      <c r="I31" s="9"/>
      <c r="J31" s="9"/>
      <c r="K31" s="9"/>
      <c r="L31" s="9"/>
      <c r="M31" s="9"/>
      <c r="N31" s="9"/>
    </row>
    <row r="32" customFormat="false" ht="19.5" hidden="false" customHeight="true" outlineLevel="0" collapsed="false">
      <c r="B32" s="9" t="s">
        <v>51</v>
      </c>
      <c r="C32" s="18" t="n">
        <f aca="false">(($C$12*134-$C$13*134-$C$14*$C$12*134-MAX($C$20,$C$15*$C$12*134)-$C$19)-$C$18*MAX(0,($C$12*134-$C$13*134-$C$14*$C$12*134-MAX($C$20,$C$15*$C$12*134)-$C$19)-$C$21-$C$12*$C$16/10*134)-$C$12*($C$16+$C$17)*134)</f>
        <v>-1817.53211247659</v>
      </c>
      <c r="D32" s="9"/>
      <c r="E32" s="9"/>
      <c r="F32" s="9"/>
      <c r="G32" s="9"/>
      <c r="H32" s="9"/>
      <c r="I32" s="9"/>
      <c r="J32" s="9"/>
      <c r="K32" s="9"/>
      <c r="L32" s="9"/>
      <c r="M32" s="9"/>
      <c r="N32" s="9"/>
    </row>
    <row r="33" customFormat="false" ht="19.5" hidden="false" customHeight="true" outlineLevel="0" collapsed="false">
      <c r="B33" s="9" t="s">
        <v>52</v>
      </c>
      <c r="C33" s="18" t="n">
        <f aca="false">(($C$12*135-$C$13*135-$C$14*$C$12*135-MAX($C$20,$C$15*$C$12*135)-$C$19)-$C$18*MAX(0,($C$12*135-$C$13*135-$C$14*$C$12*135-MAX($C$20,$C$15*$C$12*135)-$C$19)-$C$21-$C$12*$C$16/10*135)-$C$12*($C$16+$C$17)*135)</f>
        <v>2229.10111956688</v>
      </c>
      <c r="D33" s="9"/>
      <c r="E33" s="9"/>
      <c r="F33" s="9"/>
      <c r="G33" s="9"/>
      <c r="H33" s="9"/>
      <c r="I33" s="9"/>
      <c r="J33" s="9"/>
      <c r="K33" s="9"/>
      <c r="L33" s="9"/>
      <c r="M33" s="9"/>
      <c r="N33" s="9"/>
    </row>
    <row r="34" customFormat="false" ht="19.5" hidden="false" customHeight="true" outlineLevel="0" collapsed="false">
      <c r="B34" s="9" t="s">
        <v>53</v>
      </c>
      <c r="C34" s="18" t="n">
        <f aca="false">$C$12*$F$15-$C$13*$F$15-$C$14*$C$12*$F$15-MAX($C$20,$C$15*$C$12*$F$15)-$C$19</f>
        <v>72429.1011195669</v>
      </c>
      <c r="D34" s="9"/>
      <c r="E34" s="9"/>
      <c r="F34" s="9"/>
      <c r="G34" s="9"/>
      <c r="H34" s="9"/>
      <c r="I34" s="9"/>
      <c r="J34" s="9"/>
      <c r="K34" s="9"/>
      <c r="L34" s="9"/>
      <c r="M34" s="9"/>
      <c r="N34" s="9"/>
    </row>
    <row r="35" customFormat="false" ht="19.5" hidden="false" customHeight="true" outlineLevel="0" collapsed="false">
      <c r="B35" s="9" t="s">
        <v>54</v>
      </c>
      <c r="C35" s="18" t="n">
        <f aca="false">C34-$C$21-$C$12*$C$16/10*$F$15</f>
        <v>-225701.371604489</v>
      </c>
      <c r="D35" s="9"/>
      <c r="E35" s="9"/>
      <c r="F35" s="9"/>
      <c r="G35" s="9"/>
      <c r="H35" s="9"/>
      <c r="I35" s="9"/>
      <c r="J35" s="9"/>
      <c r="K35" s="9"/>
      <c r="L35" s="9"/>
      <c r="M35" s="9"/>
      <c r="N35" s="9"/>
    </row>
    <row r="36" customFormat="false" ht="19.5" hidden="false" customHeight="true" outlineLevel="0" collapsed="false">
      <c r="B36" s="9" t="s">
        <v>55</v>
      </c>
      <c r="C36" s="18" t="n">
        <f aca="false">$C$18*MAX(0,C35)</f>
        <v>0</v>
      </c>
      <c r="D36" s="9"/>
      <c r="E36" s="9"/>
      <c r="F36" s="9"/>
      <c r="G36" s="9"/>
      <c r="H36" s="9"/>
      <c r="I36" s="9"/>
      <c r="J36" s="9"/>
      <c r="K36" s="9"/>
      <c r="L36" s="9"/>
      <c r="M36" s="9"/>
      <c r="N36" s="9"/>
    </row>
    <row r="37" customFormat="false" ht="19.5" hidden="false" customHeight="true" outlineLevel="0" collapsed="false">
      <c r="B37" s="9"/>
      <c r="C37" s="9"/>
      <c r="D37" s="9"/>
      <c r="E37" s="9"/>
      <c r="F37" s="9"/>
      <c r="G37" s="9"/>
      <c r="H37" s="9"/>
      <c r="I37" s="9"/>
      <c r="J37" s="9"/>
      <c r="K37" s="9"/>
      <c r="L37" s="9"/>
      <c r="M37" s="9"/>
      <c r="N37" s="9"/>
    </row>
    <row r="38" customFormat="false" ht="19.5" hidden="false" customHeight="true" outlineLevel="0" collapsed="false">
      <c r="B38" s="9"/>
      <c r="C38" s="9"/>
      <c r="D38" s="9"/>
      <c r="E38" s="9"/>
      <c r="F38" s="9"/>
      <c r="G38" s="9"/>
      <c r="H38" s="9"/>
      <c r="I38" s="9"/>
      <c r="J38" s="9"/>
      <c r="K38" s="9"/>
      <c r="L38" s="9"/>
      <c r="M38" s="9"/>
      <c r="N38" s="9"/>
    </row>
    <row r="39" customFormat="false" ht="19.5" hidden="false" customHeight="true" outlineLevel="0" collapsed="false">
      <c r="B39" s="9"/>
      <c r="C39" s="9"/>
      <c r="D39" s="9"/>
      <c r="E39" s="9"/>
      <c r="F39" s="9"/>
      <c r="G39" s="9"/>
      <c r="H39" s="9"/>
      <c r="I39" s="9"/>
      <c r="J39" s="9"/>
      <c r="K39" s="9"/>
      <c r="L39" s="9"/>
      <c r="M39" s="9"/>
      <c r="N39" s="9"/>
    </row>
    <row r="40" customFormat="false" ht="19.5" hidden="false" customHeight="true" outlineLevel="0" collapsed="false">
      <c r="B40" s="8" t="s">
        <v>56</v>
      </c>
      <c r="C40" s="9"/>
      <c r="D40" s="9"/>
      <c r="E40" s="9"/>
      <c r="F40" s="9"/>
      <c r="G40" s="9"/>
      <c r="H40" s="9"/>
      <c r="I40" s="9"/>
      <c r="J40" s="9"/>
      <c r="K40" s="9"/>
      <c r="L40" s="9"/>
      <c r="M40" s="9"/>
      <c r="N40" s="9"/>
    </row>
    <row r="41" customFormat="false" ht="30" hidden="false" customHeight="true" outlineLevel="0" collapsed="false">
      <c r="B41" s="31" t="s">
        <v>57</v>
      </c>
      <c r="C41" s="31" t="s">
        <v>58</v>
      </c>
      <c r="D41" s="31" t="s">
        <v>59</v>
      </c>
      <c r="E41" s="31" t="s">
        <v>60</v>
      </c>
      <c r="F41" s="31" t="s">
        <v>61</v>
      </c>
      <c r="G41" s="9"/>
      <c r="H41" s="9"/>
      <c r="I41" s="9"/>
      <c r="J41" s="9"/>
      <c r="K41" s="9"/>
      <c r="L41" s="9"/>
      <c r="M41" s="9"/>
      <c r="N41" s="9"/>
    </row>
    <row r="42" customFormat="false" ht="19.5" hidden="false" customHeight="true" outlineLevel="0" collapsed="false">
      <c r="B42" s="9"/>
      <c r="C42" s="9"/>
      <c r="D42" s="9"/>
      <c r="E42" s="9"/>
      <c r="F42" s="9"/>
      <c r="G42" s="9"/>
      <c r="H42" s="9"/>
      <c r="I42" s="9"/>
      <c r="J42" s="9"/>
      <c r="K42" s="9"/>
      <c r="L42" s="9"/>
      <c r="M42" s="9"/>
      <c r="N42" s="9"/>
    </row>
    <row r="43" customFormat="false" ht="33.75" hidden="false" customHeight="true" outlineLevel="0" collapsed="false">
      <c r="B43" s="23" t="s">
        <v>62</v>
      </c>
      <c r="C43" s="32" t="n">
        <f aca="false">MATCH(TRUE(),D54:D112-D53:D111&gt;0,0)+1</f>
        <v>3</v>
      </c>
      <c r="D43" s="32" t="n">
        <f aca="false">C43+$C$23</f>
        <v>21</v>
      </c>
      <c r="E43" s="33" t="n">
        <f aca="false">INDEX(D53:D112,C43)-INDEX(D53:D112,C43-1)</f>
        <v>65518.7744167768</v>
      </c>
      <c r="F43" s="23" t="s">
        <v>63</v>
      </c>
      <c r="G43" s="23"/>
      <c r="H43" s="23"/>
      <c r="I43" s="23"/>
      <c r="J43" s="23"/>
      <c r="K43" s="23"/>
      <c r="L43" s="23"/>
      <c r="M43" s="23"/>
      <c r="N43" s="23"/>
    </row>
    <row r="44" customFormat="false" ht="19.5" hidden="false" customHeight="true" outlineLevel="0" collapsed="false">
      <c r="B44" s="9"/>
      <c r="C44" s="9"/>
      <c r="D44" s="9"/>
      <c r="E44" s="9"/>
      <c r="F44" s="9"/>
      <c r="G44" s="9"/>
      <c r="H44" s="9"/>
      <c r="I44" s="9"/>
      <c r="J44" s="9"/>
      <c r="K44" s="9"/>
      <c r="L44" s="9"/>
      <c r="M44" s="9"/>
      <c r="N44" s="9"/>
    </row>
    <row r="45" customFormat="false" ht="33.75" hidden="false" customHeight="true" outlineLevel="0" collapsed="false">
      <c r="B45" s="23" t="s">
        <v>64</v>
      </c>
      <c r="C45" s="32" t="n">
        <f aca="false">MATCH(TRUE(),D53:D112&gt;0,0)</f>
        <v>5</v>
      </c>
      <c r="D45" s="32" t="n">
        <f aca="false">C45+$C$23</f>
        <v>23</v>
      </c>
      <c r="E45" s="33" t="n">
        <f aca="false">INDEX(D53:D112,C45)</f>
        <v>61089.345233103</v>
      </c>
      <c r="F45" s="23" t="s">
        <v>65</v>
      </c>
      <c r="G45" s="23"/>
      <c r="H45" s="23"/>
      <c r="I45" s="23"/>
      <c r="J45" s="23"/>
      <c r="K45" s="23"/>
      <c r="L45" s="23"/>
      <c r="M45" s="23"/>
      <c r="N45" s="23"/>
    </row>
    <row r="46" customFormat="false" ht="19.5" hidden="false" customHeight="true" outlineLevel="0" collapsed="false">
      <c r="B46" s="9"/>
      <c r="C46" s="9"/>
      <c r="D46" s="9"/>
      <c r="E46" s="9"/>
      <c r="F46" s="9"/>
      <c r="G46" s="9"/>
      <c r="H46" s="9"/>
      <c r="I46" s="9"/>
      <c r="J46" s="9"/>
      <c r="K46" s="9"/>
      <c r="L46" s="9"/>
      <c r="M46" s="9"/>
      <c r="N46" s="9"/>
    </row>
    <row r="47" customFormat="false" ht="33.75" hidden="false" customHeight="true" outlineLevel="0" collapsed="false">
      <c r="B47" s="23" t="s">
        <v>66</v>
      </c>
      <c r="C47" s="32" t="n">
        <f aca="false">MATCH(TRUE(),D53:D112&gt;=Capital!$D$36,0)</f>
        <v>53</v>
      </c>
      <c r="D47" s="32" t="n">
        <f aca="false">C47+$C$23</f>
        <v>71</v>
      </c>
      <c r="E47" s="33" t="n">
        <f aca="false">Capital!$D$36</f>
        <v>3819550.75026219</v>
      </c>
      <c r="F47" s="23" t="s">
        <v>67</v>
      </c>
      <c r="G47" s="23"/>
      <c r="H47" s="23"/>
      <c r="I47" s="23"/>
      <c r="J47" s="23"/>
      <c r="K47" s="23"/>
      <c r="L47" s="23"/>
      <c r="M47" s="23"/>
      <c r="N47" s="23"/>
    </row>
    <row r="48" customFormat="false" ht="33.75" hidden="false" customHeight="true" outlineLevel="0" collapsed="false">
      <c r="B48" s="23" t="s">
        <v>68</v>
      </c>
      <c r="C48" s="32" t="n">
        <f aca="false">MATCH(TRUE(),D53:D112&gt;=Capital!$D$37,0)</f>
        <v>58</v>
      </c>
      <c r="D48" s="32" t="n">
        <f aca="false">C48+$C$23</f>
        <v>76</v>
      </c>
      <c r="E48" s="33" t="n">
        <f aca="false">Capital!$D$37</f>
        <v>4619550.75026219</v>
      </c>
      <c r="F48" s="23" t="s">
        <v>69</v>
      </c>
      <c r="G48" s="23"/>
      <c r="H48" s="23"/>
      <c r="I48" s="23"/>
      <c r="J48" s="23"/>
      <c r="K48" s="23"/>
      <c r="L48" s="23"/>
      <c r="M48" s="23"/>
      <c r="N48" s="23"/>
    </row>
    <row r="49" customFormat="false" ht="33.75" hidden="false" customHeight="true" outlineLevel="0" collapsed="false">
      <c r="B49" s="23" t="s">
        <v>70</v>
      </c>
      <c r="C49" s="32" t="str">
        <f aca="false">IFERROR(MATCH(TRUE(),D53:D112&gt;=Capital!$D$41,0),"Not within 5 operating years")</f>
        <v>Not within 5 operating years</v>
      </c>
      <c r="D49" s="32" t="str">
        <f aca="false">IF(ISNUMBER(C49),C49+$C$23,"—")</f>
        <v>—</v>
      </c>
      <c r="E49" s="33" t="n">
        <f aca="false">Capital!$D$41</f>
        <v>5829550.75026219</v>
      </c>
      <c r="F49" s="23" t="s">
        <v>71</v>
      </c>
      <c r="G49" s="23"/>
      <c r="H49" s="23"/>
      <c r="I49" s="23"/>
      <c r="J49" s="23"/>
      <c r="K49" s="23"/>
      <c r="L49" s="23"/>
      <c r="M49" s="23"/>
      <c r="N49" s="23"/>
    </row>
    <row r="50" customFormat="false" ht="19.5" hidden="false" customHeight="true" outlineLevel="0" collapsed="false">
      <c r="B50" s="9"/>
      <c r="C50" s="9"/>
      <c r="D50" s="9"/>
      <c r="E50" s="9"/>
      <c r="F50" s="9"/>
      <c r="G50" s="9"/>
      <c r="H50" s="9"/>
      <c r="I50" s="9"/>
      <c r="J50" s="9"/>
      <c r="K50" s="9"/>
      <c r="L50" s="9"/>
      <c r="M50" s="9"/>
      <c r="N50" s="9"/>
    </row>
    <row r="51" customFormat="false" ht="31.5" hidden="false" customHeight="true" outlineLevel="0" collapsed="false">
      <c r="B51" s="31" t="s">
        <v>58</v>
      </c>
      <c r="C51" s="31" t="s">
        <v>59</v>
      </c>
      <c r="D51" s="31" t="s">
        <v>72</v>
      </c>
      <c r="E51" s="31" t="s">
        <v>73</v>
      </c>
      <c r="F51" s="31" t="s">
        <v>74</v>
      </c>
      <c r="G51" s="31" t="s">
        <v>75</v>
      </c>
      <c r="H51" s="9"/>
      <c r="I51" s="9"/>
      <c r="J51" s="9"/>
      <c r="K51" s="9"/>
      <c r="L51" s="9"/>
      <c r="M51" s="9"/>
      <c r="N51" s="9"/>
    </row>
    <row r="52" customFormat="false" ht="19.5" hidden="false" customHeight="true" outlineLevel="0" collapsed="false">
      <c r="B52" s="9"/>
      <c r="C52" s="9"/>
      <c r="D52" s="9"/>
      <c r="E52" s="9"/>
      <c r="F52" s="9"/>
      <c r="G52" s="9"/>
      <c r="H52" s="9"/>
      <c r="I52" s="9"/>
      <c r="J52" s="9"/>
      <c r="K52" s="9"/>
      <c r="L52" s="9"/>
      <c r="M52" s="9"/>
      <c r="N52" s="9"/>
    </row>
    <row r="53" customFormat="false" ht="19.5" hidden="false" customHeight="true" outlineLevel="0" collapsed="false">
      <c r="B53" s="9" t="n">
        <v>1</v>
      </c>
      <c r="C53" s="9" t="n">
        <f aca="false">B53+$C$23</f>
        <v>19</v>
      </c>
      <c r="D53" s="34" t="n">
        <f aca="false">Stress!D53-Capital!$D$39</f>
        <v>-67733.4890086138</v>
      </c>
      <c r="E53" s="34" t="n">
        <f aca="false">Capital!$D$36</f>
        <v>3819550.75026219</v>
      </c>
      <c r="F53" s="34" t="n">
        <f aca="false">Capital!$D$37</f>
        <v>4619550.75026219</v>
      </c>
      <c r="G53" s="34" t="n">
        <f aca="false">Capital!$D$41</f>
        <v>5829550.75026219</v>
      </c>
      <c r="H53" s="9"/>
      <c r="I53" s="9"/>
      <c r="J53" s="9"/>
      <c r="K53" s="9"/>
      <c r="L53" s="9"/>
      <c r="M53" s="9"/>
      <c r="N53" s="9"/>
    </row>
    <row r="54" customFormat="false" ht="19.5" hidden="false" customHeight="true" outlineLevel="0" collapsed="false">
      <c r="B54" s="9" t="n">
        <v>2</v>
      </c>
      <c r="C54" s="9" t="n">
        <f aca="false">B54+$C$23</f>
        <v>20</v>
      </c>
      <c r="D54" s="34" t="n">
        <f aca="false">Stress!E53-Capital!$D$39</f>
        <v>-135466.978017228</v>
      </c>
      <c r="E54" s="34" t="n">
        <f aca="false">Capital!$D$36</f>
        <v>3819550.75026219</v>
      </c>
      <c r="F54" s="34" t="n">
        <f aca="false">Capital!$D$37</f>
        <v>4619550.75026219</v>
      </c>
      <c r="G54" s="34" t="n">
        <f aca="false">Capital!$D$41</f>
        <v>5829550.75026219</v>
      </c>
      <c r="H54" s="9"/>
      <c r="I54" s="9"/>
      <c r="J54" s="9"/>
      <c r="K54" s="9"/>
      <c r="L54" s="9"/>
      <c r="M54" s="9"/>
      <c r="N54" s="9"/>
    </row>
    <row r="55" customFormat="false" ht="19.5" hidden="false" customHeight="true" outlineLevel="0" collapsed="false">
      <c r="B55" s="9" t="n">
        <v>3</v>
      </c>
      <c r="C55" s="9" t="n">
        <f aca="false">B55+$C$23</f>
        <v>21</v>
      </c>
      <c r="D55" s="34" t="n">
        <f aca="false">Stress!F53-Capital!$D$39</f>
        <v>-69948.2036004507</v>
      </c>
      <c r="E55" s="34" t="n">
        <f aca="false">Capital!$D$36</f>
        <v>3819550.75026219</v>
      </c>
      <c r="F55" s="34" t="n">
        <f aca="false">Capital!$D$37</f>
        <v>4619550.75026219</v>
      </c>
      <c r="G55" s="34" t="n">
        <f aca="false">Capital!$D$41</f>
        <v>5829550.75026219</v>
      </c>
      <c r="H55" s="9"/>
      <c r="I55" s="9"/>
      <c r="J55" s="9"/>
      <c r="K55" s="9"/>
      <c r="L55" s="9"/>
      <c r="M55" s="9"/>
      <c r="N55" s="9"/>
    </row>
    <row r="56" customFormat="false" ht="19.5" hidden="false" customHeight="true" outlineLevel="0" collapsed="false">
      <c r="B56" s="9" t="n">
        <v>4</v>
      </c>
      <c r="C56" s="9" t="n">
        <f aca="false">B56+$C$23</f>
        <v>22</v>
      </c>
      <c r="D56" s="34" t="n">
        <f aca="false">Stress!G53-Capital!$D$39</f>
        <v>-4429.42918367381</v>
      </c>
      <c r="E56" s="34" t="n">
        <f aca="false">Capital!$D$36</f>
        <v>3819550.75026219</v>
      </c>
      <c r="F56" s="34" t="n">
        <f aca="false">Capital!$D$37</f>
        <v>4619550.75026219</v>
      </c>
      <c r="G56" s="34" t="n">
        <f aca="false">Capital!$D$41</f>
        <v>5829550.75026219</v>
      </c>
      <c r="H56" s="9"/>
      <c r="I56" s="9"/>
      <c r="J56" s="9"/>
      <c r="K56" s="9"/>
      <c r="L56" s="9"/>
      <c r="M56" s="9"/>
      <c r="N56" s="9"/>
    </row>
    <row r="57" customFormat="false" ht="19.5" hidden="false" customHeight="true" outlineLevel="0" collapsed="false">
      <c r="B57" s="9" t="n">
        <v>5</v>
      </c>
      <c r="C57" s="9" t="n">
        <f aca="false">B57+$C$23</f>
        <v>23</v>
      </c>
      <c r="D57" s="34" t="n">
        <f aca="false">Stress!H53-Capital!$D$39</f>
        <v>61089.345233103</v>
      </c>
      <c r="E57" s="34" t="n">
        <f aca="false">Capital!$D$36</f>
        <v>3819550.75026219</v>
      </c>
      <c r="F57" s="34" t="n">
        <f aca="false">Capital!$D$37</f>
        <v>4619550.75026219</v>
      </c>
      <c r="G57" s="34" t="n">
        <f aca="false">Capital!$D$41</f>
        <v>5829550.75026219</v>
      </c>
      <c r="H57" s="9"/>
      <c r="I57" s="9"/>
      <c r="J57" s="9"/>
      <c r="K57" s="9"/>
      <c r="L57" s="9"/>
      <c r="M57" s="9"/>
      <c r="N57" s="9"/>
    </row>
    <row r="58" customFormat="false" ht="19.5" hidden="false" customHeight="true" outlineLevel="0" collapsed="false">
      <c r="B58" s="9" t="n">
        <v>6</v>
      </c>
      <c r="C58" s="9" t="n">
        <f aca="false">B58+$C$23</f>
        <v>24</v>
      </c>
      <c r="D58" s="34" t="n">
        <f aca="false">Stress!I53-Capital!$D$39</f>
        <v>126608.11964988</v>
      </c>
      <c r="E58" s="34" t="n">
        <f aca="false">Capital!$D$36</f>
        <v>3819550.75026219</v>
      </c>
      <c r="F58" s="34" t="n">
        <f aca="false">Capital!$D$37</f>
        <v>4619550.75026219</v>
      </c>
      <c r="G58" s="34" t="n">
        <f aca="false">Capital!$D$41</f>
        <v>5829550.75026219</v>
      </c>
      <c r="H58" s="9"/>
      <c r="I58" s="9"/>
      <c r="J58" s="9"/>
      <c r="K58" s="9"/>
      <c r="L58" s="9"/>
      <c r="M58" s="9"/>
      <c r="N58" s="9"/>
    </row>
    <row r="59" customFormat="false" ht="19.5" hidden="false" customHeight="true" outlineLevel="0" collapsed="false">
      <c r="B59" s="9" t="n">
        <v>7</v>
      </c>
      <c r="C59" s="9" t="n">
        <f aca="false">B59+$C$23</f>
        <v>25</v>
      </c>
      <c r="D59" s="34" t="n">
        <f aca="false">Stress!J53-Capital!$D$39</f>
        <v>192126.894066657</v>
      </c>
      <c r="E59" s="34" t="n">
        <f aca="false">Capital!$D$36</f>
        <v>3819550.75026219</v>
      </c>
      <c r="F59" s="34" t="n">
        <f aca="false">Capital!$D$37</f>
        <v>4619550.75026219</v>
      </c>
      <c r="G59" s="34" t="n">
        <f aca="false">Capital!$D$41</f>
        <v>5829550.75026219</v>
      </c>
      <c r="H59" s="9"/>
      <c r="I59" s="9"/>
      <c r="J59" s="9"/>
      <c r="K59" s="9"/>
      <c r="L59" s="9"/>
      <c r="M59" s="9"/>
      <c r="N59" s="9"/>
    </row>
    <row r="60" customFormat="false" ht="19.5" hidden="false" customHeight="true" outlineLevel="0" collapsed="false">
      <c r="B60" s="9" t="n">
        <v>8</v>
      </c>
      <c r="C60" s="9" t="n">
        <f aca="false">B60+$C$23</f>
        <v>26</v>
      </c>
      <c r="D60" s="34" t="n">
        <f aca="false">Stress!K53-Capital!$D$39</f>
        <v>257645.668483434</v>
      </c>
      <c r="E60" s="34" t="n">
        <f aca="false">Capital!$D$36</f>
        <v>3819550.75026219</v>
      </c>
      <c r="F60" s="34" t="n">
        <f aca="false">Capital!$D$37</f>
        <v>4619550.75026219</v>
      </c>
      <c r="G60" s="34" t="n">
        <f aca="false">Capital!$D$41</f>
        <v>5829550.75026219</v>
      </c>
      <c r="H60" s="9"/>
      <c r="I60" s="9"/>
      <c r="J60" s="9"/>
      <c r="K60" s="9"/>
      <c r="L60" s="9"/>
      <c r="M60" s="9"/>
      <c r="N60" s="9"/>
    </row>
    <row r="61" customFormat="false" ht="19.5" hidden="false" customHeight="true" outlineLevel="0" collapsed="false">
      <c r="B61" s="9" t="n">
        <v>9</v>
      </c>
      <c r="C61" s="9" t="n">
        <f aca="false">B61+$C$23</f>
        <v>27</v>
      </c>
      <c r="D61" s="34" t="n">
        <f aca="false">Stress!L53-Capital!$D$39</f>
        <v>323164.442900211</v>
      </c>
      <c r="E61" s="34" t="n">
        <f aca="false">Capital!$D$36</f>
        <v>3819550.75026219</v>
      </c>
      <c r="F61" s="34" t="n">
        <f aca="false">Capital!$D$37</f>
        <v>4619550.75026219</v>
      </c>
      <c r="G61" s="34" t="n">
        <f aca="false">Capital!$D$41</f>
        <v>5829550.75026219</v>
      </c>
      <c r="H61" s="9"/>
      <c r="I61" s="9"/>
      <c r="J61" s="9"/>
      <c r="K61" s="9"/>
      <c r="L61" s="9"/>
      <c r="M61" s="9"/>
      <c r="N61" s="9"/>
    </row>
    <row r="62" customFormat="false" ht="19.5" hidden="false" customHeight="true" outlineLevel="0" collapsed="false">
      <c r="B62" s="9" t="n">
        <v>10</v>
      </c>
      <c r="C62" s="9" t="n">
        <f aca="false">B62+$C$23</f>
        <v>28</v>
      </c>
      <c r="D62" s="34" t="n">
        <f aca="false">Stress!M53-Capital!$D$39</f>
        <v>388683.217316988</v>
      </c>
      <c r="E62" s="34" t="n">
        <f aca="false">Capital!$D$36</f>
        <v>3819550.75026219</v>
      </c>
      <c r="F62" s="34" t="n">
        <f aca="false">Capital!$D$37</f>
        <v>4619550.75026219</v>
      </c>
      <c r="G62" s="34" t="n">
        <f aca="false">Capital!$D$41</f>
        <v>5829550.75026219</v>
      </c>
      <c r="H62" s="9"/>
      <c r="I62" s="9"/>
      <c r="J62" s="9"/>
      <c r="K62" s="9"/>
      <c r="L62" s="9"/>
      <c r="M62" s="9"/>
      <c r="N62" s="9"/>
    </row>
    <row r="63" customFormat="false" ht="19.5" hidden="false" customHeight="true" outlineLevel="0" collapsed="false">
      <c r="B63" s="9" t="n">
        <v>11</v>
      </c>
      <c r="C63" s="9" t="n">
        <f aca="false">B63+$C$23</f>
        <v>29</v>
      </c>
      <c r="D63" s="34" t="n">
        <f aca="false">Stress!N53-Capital!$D$39</f>
        <v>454201.991733765</v>
      </c>
      <c r="E63" s="34" t="n">
        <f aca="false">Capital!$D$36</f>
        <v>3819550.75026219</v>
      </c>
      <c r="F63" s="34" t="n">
        <f aca="false">Capital!$D$37</f>
        <v>4619550.75026219</v>
      </c>
      <c r="G63" s="34" t="n">
        <f aca="false">Capital!$D$41</f>
        <v>5829550.75026219</v>
      </c>
      <c r="H63" s="9"/>
      <c r="I63" s="9"/>
      <c r="J63" s="9"/>
      <c r="K63" s="9"/>
      <c r="L63" s="9"/>
      <c r="M63" s="9"/>
      <c r="N63" s="9"/>
    </row>
    <row r="64" customFormat="false" ht="19.5" hidden="false" customHeight="true" outlineLevel="0" collapsed="false">
      <c r="B64" s="9" t="n">
        <v>12</v>
      </c>
      <c r="C64" s="9" t="n">
        <f aca="false">B64+$C$23</f>
        <v>30</v>
      </c>
      <c r="D64" s="34" t="n">
        <f aca="false">Stress!O53-Capital!$D$39</f>
        <v>519720.766150541</v>
      </c>
      <c r="E64" s="34" t="n">
        <f aca="false">Capital!$D$36</f>
        <v>3819550.75026219</v>
      </c>
      <c r="F64" s="34" t="n">
        <f aca="false">Capital!$D$37</f>
        <v>4619550.75026219</v>
      </c>
      <c r="G64" s="34" t="n">
        <f aca="false">Capital!$D$41</f>
        <v>5829550.75026219</v>
      </c>
      <c r="H64" s="9"/>
      <c r="I64" s="9"/>
      <c r="J64" s="9"/>
      <c r="K64" s="9"/>
      <c r="L64" s="9"/>
      <c r="M64" s="9"/>
      <c r="N64" s="9"/>
    </row>
    <row r="65" customFormat="false" ht="19.5" hidden="false" customHeight="true" outlineLevel="0" collapsed="false">
      <c r="B65" s="9" t="n">
        <v>13</v>
      </c>
      <c r="C65" s="9" t="n">
        <f aca="false">B65+$C$23</f>
        <v>31</v>
      </c>
      <c r="D65" s="34" t="n">
        <f aca="false">Stress!D54-Capital!$D$39</f>
        <v>447982.836214113</v>
      </c>
      <c r="E65" s="34" t="n">
        <f aca="false">Capital!$D$36</f>
        <v>3819550.75026219</v>
      </c>
      <c r="F65" s="34" t="n">
        <f aca="false">Capital!$D$37</f>
        <v>4619550.75026219</v>
      </c>
      <c r="G65" s="34" t="n">
        <f aca="false">Capital!$D$41</f>
        <v>5829550.75026219</v>
      </c>
      <c r="H65" s="9"/>
      <c r="I65" s="9"/>
      <c r="J65" s="9"/>
      <c r="K65" s="9"/>
      <c r="L65" s="9"/>
      <c r="M65" s="9"/>
      <c r="N65" s="9"/>
    </row>
    <row r="66" customFormat="false" ht="19.5" hidden="false" customHeight="true" outlineLevel="0" collapsed="false">
      <c r="B66" s="9" t="n">
        <v>14</v>
      </c>
      <c r="C66" s="9" t="n">
        <f aca="false">B66+$C$23</f>
        <v>32</v>
      </c>
      <c r="D66" s="34" t="n">
        <f aca="false">Stress!E54-Capital!$D$39</f>
        <v>376244.906277684</v>
      </c>
      <c r="E66" s="34" t="n">
        <f aca="false">Capital!$D$36</f>
        <v>3819550.75026219</v>
      </c>
      <c r="F66" s="34" t="n">
        <f aca="false">Capital!$D$37</f>
        <v>4619550.75026219</v>
      </c>
      <c r="G66" s="34" t="n">
        <f aca="false">Capital!$D$41</f>
        <v>5829550.75026219</v>
      </c>
      <c r="H66" s="9"/>
      <c r="I66" s="9"/>
      <c r="J66" s="9"/>
      <c r="K66" s="9"/>
      <c r="L66" s="9"/>
      <c r="M66" s="9"/>
      <c r="N66" s="9"/>
    </row>
    <row r="67" customFormat="false" ht="19.5" hidden="false" customHeight="true" outlineLevel="0" collapsed="false">
      <c r="B67" s="9" t="n">
        <v>15</v>
      </c>
      <c r="C67" s="9" t="n">
        <f aca="false">B67+$C$23</f>
        <v>33</v>
      </c>
      <c r="D67" s="34" t="n">
        <f aca="false">Stress!F54-Capital!$D$39</f>
        <v>472447.855418352</v>
      </c>
      <c r="E67" s="34" t="n">
        <f aca="false">Capital!$D$36</f>
        <v>3819550.75026219</v>
      </c>
      <c r="F67" s="34" t="n">
        <f aca="false">Capital!$D$37</f>
        <v>4619550.75026219</v>
      </c>
      <c r="G67" s="34" t="n">
        <f aca="false">Capital!$D$41</f>
        <v>5829550.75026219</v>
      </c>
      <c r="H67" s="9"/>
      <c r="I67" s="9"/>
      <c r="J67" s="9"/>
      <c r="K67" s="9"/>
      <c r="L67" s="9"/>
      <c r="M67" s="9"/>
      <c r="N67" s="9"/>
    </row>
    <row r="68" customFormat="false" ht="19.5" hidden="false" customHeight="true" outlineLevel="0" collapsed="false">
      <c r="B68" s="9" t="n">
        <v>16</v>
      </c>
      <c r="C68" s="9" t="n">
        <f aca="false">B68+$C$23</f>
        <v>34</v>
      </c>
      <c r="D68" s="34" t="n">
        <f aca="false">Stress!G54-Capital!$D$39</f>
        <v>568650.80455902</v>
      </c>
      <c r="E68" s="34" t="n">
        <f aca="false">Capital!$D$36</f>
        <v>3819550.75026219</v>
      </c>
      <c r="F68" s="34" t="n">
        <f aca="false">Capital!$D$37</f>
        <v>4619550.75026219</v>
      </c>
      <c r="G68" s="34" t="n">
        <f aca="false">Capital!$D$41</f>
        <v>5829550.75026219</v>
      </c>
      <c r="H68" s="9"/>
      <c r="I68" s="9"/>
      <c r="J68" s="9"/>
      <c r="K68" s="9"/>
      <c r="L68" s="9"/>
      <c r="M68" s="9"/>
      <c r="N68" s="9"/>
    </row>
    <row r="69" customFormat="false" ht="19.5" hidden="false" customHeight="true" outlineLevel="0" collapsed="false">
      <c r="B69" s="9" t="n">
        <v>17</v>
      </c>
      <c r="C69" s="9" t="n">
        <f aca="false">B69+$C$23</f>
        <v>35</v>
      </c>
      <c r="D69" s="34" t="n">
        <f aca="false">Stress!H54-Capital!$D$39</f>
        <v>664853.753699688</v>
      </c>
      <c r="E69" s="34" t="n">
        <f aca="false">Capital!$D$36</f>
        <v>3819550.75026219</v>
      </c>
      <c r="F69" s="34" t="n">
        <f aca="false">Capital!$D$37</f>
        <v>4619550.75026219</v>
      </c>
      <c r="G69" s="34" t="n">
        <f aca="false">Capital!$D$41</f>
        <v>5829550.75026219</v>
      </c>
      <c r="H69" s="9"/>
      <c r="I69" s="9"/>
      <c r="J69" s="9"/>
      <c r="K69" s="9"/>
      <c r="L69" s="9"/>
      <c r="M69" s="9"/>
      <c r="N69" s="9"/>
    </row>
    <row r="70" customFormat="false" ht="19.5" hidden="false" customHeight="true" outlineLevel="0" collapsed="false">
      <c r="B70" s="9" t="n">
        <v>18</v>
      </c>
      <c r="C70" s="9" t="n">
        <f aca="false">B70+$C$23</f>
        <v>36</v>
      </c>
      <c r="D70" s="34" t="n">
        <f aca="false">Stress!I54-Capital!$D$39</f>
        <v>761056.702840356</v>
      </c>
      <c r="E70" s="34" t="n">
        <f aca="false">Capital!$D$36</f>
        <v>3819550.75026219</v>
      </c>
      <c r="F70" s="34" t="n">
        <f aca="false">Capital!$D$37</f>
        <v>4619550.75026219</v>
      </c>
      <c r="G70" s="34" t="n">
        <f aca="false">Capital!$D$41</f>
        <v>5829550.75026219</v>
      </c>
      <c r="H70" s="9"/>
      <c r="I70" s="9"/>
      <c r="J70" s="9"/>
      <c r="K70" s="9"/>
      <c r="L70" s="9"/>
      <c r="M70" s="9"/>
      <c r="N70" s="9"/>
    </row>
    <row r="71" customFormat="false" ht="19.5" hidden="false" customHeight="true" outlineLevel="0" collapsed="false">
      <c r="B71" s="9" t="n">
        <v>19</v>
      </c>
      <c r="C71" s="9" t="n">
        <f aca="false">B71+$C$23</f>
        <v>37</v>
      </c>
      <c r="D71" s="34" t="n">
        <f aca="false">Stress!J54-Capital!$D$39</f>
        <v>857259.651981023</v>
      </c>
      <c r="E71" s="34" t="n">
        <f aca="false">Capital!$D$36</f>
        <v>3819550.75026219</v>
      </c>
      <c r="F71" s="34" t="n">
        <f aca="false">Capital!$D$37</f>
        <v>4619550.75026219</v>
      </c>
      <c r="G71" s="34" t="n">
        <f aca="false">Capital!$D$41</f>
        <v>5829550.75026219</v>
      </c>
      <c r="H71" s="9"/>
      <c r="I71" s="9"/>
      <c r="J71" s="9"/>
      <c r="K71" s="9"/>
      <c r="L71" s="9"/>
      <c r="M71" s="9"/>
      <c r="N71" s="9"/>
    </row>
    <row r="72" customFormat="false" ht="19.5" hidden="false" customHeight="true" outlineLevel="0" collapsed="false">
      <c r="B72" s="9" t="n">
        <v>20</v>
      </c>
      <c r="C72" s="9" t="n">
        <f aca="false">B72+$C$23</f>
        <v>38</v>
      </c>
      <c r="D72" s="34" t="n">
        <f aca="false">Stress!K54-Capital!$D$39</f>
        <v>953462.601121691</v>
      </c>
      <c r="E72" s="34" t="n">
        <f aca="false">Capital!$D$36</f>
        <v>3819550.75026219</v>
      </c>
      <c r="F72" s="34" t="n">
        <f aca="false">Capital!$D$37</f>
        <v>4619550.75026219</v>
      </c>
      <c r="G72" s="34" t="n">
        <f aca="false">Capital!$D$41</f>
        <v>5829550.75026219</v>
      </c>
      <c r="H72" s="9"/>
      <c r="I72" s="9"/>
      <c r="J72" s="9"/>
      <c r="K72" s="9"/>
      <c r="L72" s="9"/>
      <c r="M72" s="9"/>
      <c r="N72" s="9"/>
    </row>
    <row r="73" customFormat="false" ht="19.5" hidden="false" customHeight="true" outlineLevel="0" collapsed="false">
      <c r="B73" s="9" t="n">
        <v>21</v>
      </c>
      <c r="C73" s="9" t="n">
        <f aca="false">B73+$C$23</f>
        <v>39</v>
      </c>
      <c r="D73" s="34" t="n">
        <f aca="false">Stress!L54-Capital!$D$39</f>
        <v>1049665.55026236</v>
      </c>
      <c r="E73" s="34" t="n">
        <f aca="false">Capital!$D$36</f>
        <v>3819550.75026219</v>
      </c>
      <c r="F73" s="34" t="n">
        <f aca="false">Capital!$D$37</f>
        <v>4619550.75026219</v>
      </c>
      <c r="G73" s="34" t="n">
        <f aca="false">Capital!$D$41</f>
        <v>5829550.75026219</v>
      </c>
      <c r="H73" s="9"/>
      <c r="I73" s="9"/>
      <c r="J73" s="9"/>
      <c r="K73" s="9"/>
      <c r="L73" s="9"/>
      <c r="M73" s="9"/>
      <c r="N73" s="9"/>
    </row>
    <row r="74" customFormat="false" ht="19.5" hidden="false" customHeight="true" outlineLevel="0" collapsed="false">
      <c r="B74" s="9" t="n">
        <v>22</v>
      </c>
      <c r="C74" s="9" t="n">
        <f aca="false">B74+$C$23</f>
        <v>40</v>
      </c>
      <c r="D74" s="34" t="n">
        <f aca="false">Stress!M54-Capital!$D$39</f>
        <v>1145868.49940303</v>
      </c>
      <c r="E74" s="34" t="n">
        <f aca="false">Capital!$D$36</f>
        <v>3819550.75026219</v>
      </c>
      <c r="F74" s="34" t="n">
        <f aca="false">Capital!$D$37</f>
        <v>4619550.75026219</v>
      </c>
      <c r="G74" s="34" t="n">
        <f aca="false">Capital!$D$41</f>
        <v>5829550.75026219</v>
      </c>
      <c r="H74" s="9"/>
      <c r="I74" s="9"/>
      <c r="J74" s="9"/>
      <c r="K74" s="9"/>
      <c r="L74" s="9"/>
      <c r="M74" s="9"/>
      <c r="N74" s="9"/>
    </row>
    <row r="75" customFormat="false" ht="19.5" hidden="false" customHeight="true" outlineLevel="0" collapsed="false">
      <c r="B75" s="9" t="n">
        <v>23</v>
      </c>
      <c r="C75" s="9" t="n">
        <f aca="false">B75+$C$23</f>
        <v>41</v>
      </c>
      <c r="D75" s="34" t="n">
        <f aca="false">Stress!N54-Capital!$D$39</f>
        <v>1242071.4485437</v>
      </c>
      <c r="E75" s="34" t="n">
        <f aca="false">Capital!$D$36</f>
        <v>3819550.75026219</v>
      </c>
      <c r="F75" s="34" t="n">
        <f aca="false">Capital!$D$37</f>
        <v>4619550.75026219</v>
      </c>
      <c r="G75" s="34" t="n">
        <f aca="false">Capital!$D$41</f>
        <v>5829550.75026219</v>
      </c>
      <c r="H75" s="9"/>
      <c r="I75" s="9"/>
      <c r="J75" s="9"/>
      <c r="K75" s="9"/>
      <c r="L75" s="9"/>
      <c r="M75" s="9"/>
      <c r="N75" s="9"/>
    </row>
    <row r="76" customFormat="false" ht="19.5" hidden="false" customHeight="true" outlineLevel="0" collapsed="false">
      <c r="B76" s="9" t="n">
        <v>24</v>
      </c>
      <c r="C76" s="9" t="n">
        <f aca="false">B76+$C$23</f>
        <v>42</v>
      </c>
      <c r="D76" s="34" t="n">
        <f aca="false">Stress!O54-Capital!$D$39</f>
        <v>1338274.39768436</v>
      </c>
      <c r="E76" s="34" t="n">
        <f aca="false">Capital!$D$36</f>
        <v>3819550.75026219</v>
      </c>
      <c r="F76" s="34" t="n">
        <f aca="false">Capital!$D$37</f>
        <v>4619550.75026219</v>
      </c>
      <c r="G76" s="34" t="n">
        <f aca="false">Capital!$D$41</f>
        <v>5829550.75026219</v>
      </c>
      <c r="H76" s="9"/>
      <c r="I76" s="9"/>
      <c r="J76" s="9"/>
      <c r="K76" s="9"/>
      <c r="L76" s="9"/>
      <c r="M76" s="9"/>
      <c r="N76" s="9"/>
    </row>
    <row r="77" customFormat="false" ht="19.5" hidden="false" customHeight="true" outlineLevel="0" collapsed="false">
      <c r="B77" s="9" t="n">
        <v>25</v>
      </c>
      <c r="C77" s="9" t="n">
        <f aca="false">B77+$C$23</f>
        <v>43</v>
      </c>
      <c r="D77" s="34" t="n">
        <f aca="false">Stress!D55-Capital!$D$39</f>
        <v>1256096.864</v>
      </c>
      <c r="E77" s="34" t="n">
        <f aca="false">Capital!$D$36</f>
        <v>3819550.75026219</v>
      </c>
      <c r="F77" s="34" t="n">
        <f aca="false">Capital!$D$37</f>
        <v>4619550.75026219</v>
      </c>
      <c r="G77" s="34" t="n">
        <f aca="false">Capital!$D$41</f>
        <v>5829550.75026219</v>
      </c>
      <c r="H77" s="9"/>
      <c r="I77" s="9"/>
      <c r="J77" s="9"/>
      <c r="K77" s="9"/>
      <c r="L77" s="9"/>
      <c r="M77" s="9"/>
      <c r="N77" s="9"/>
    </row>
    <row r="78" customFormat="false" ht="19.5" hidden="false" customHeight="true" outlineLevel="0" collapsed="false">
      <c r="B78" s="9" t="n">
        <v>26</v>
      </c>
      <c r="C78" s="9" t="n">
        <f aca="false">B78+$C$23</f>
        <v>44</v>
      </c>
      <c r="D78" s="34" t="n">
        <f aca="false">Stress!E55-Capital!$D$39</f>
        <v>1173919.33031563</v>
      </c>
      <c r="E78" s="34" t="n">
        <f aca="false">Capital!$D$36</f>
        <v>3819550.75026219</v>
      </c>
      <c r="F78" s="34" t="n">
        <f aca="false">Capital!$D$37</f>
        <v>4619550.75026219</v>
      </c>
      <c r="G78" s="34" t="n">
        <f aca="false">Capital!$D$41</f>
        <v>5829550.75026219</v>
      </c>
      <c r="H78" s="9"/>
      <c r="I78" s="9"/>
      <c r="J78" s="9"/>
      <c r="K78" s="9"/>
      <c r="L78" s="9"/>
      <c r="M78" s="9"/>
      <c r="N78" s="9"/>
    </row>
    <row r="79" customFormat="false" ht="19.5" hidden="false" customHeight="true" outlineLevel="0" collapsed="false">
      <c r="B79" s="9" t="n">
        <v>27</v>
      </c>
      <c r="C79" s="9" t="n">
        <f aca="false">B79+$C$23</f>
        <v>45</v>
      </c>
      <c r="D79" s="34" t="n">
        <f aca="false">Stress!F55-Capital!$D$39</f>
        <v>1294838.48101032</v>
      </c>
      <c r="E79" s="34" t="n">
        <f aca="false">Capital!$D$36</f>
        <v>3819550.75026219</v>
      </c>
      <c r="F79" s="34" t="n">
        <f aca="false">Capital!$D$37</f>
        <v>4619550.75026219</v>
      </c>
      <c r="G79" s="34" t="n">
        <f aca="false">Capital!$D$41</f>
        <v>5829550.75026219</v>
      </c>
      <c r="H79" s="9"/>
      <c r="I79" s="9"/>
      <c r="J79" s="9"/>
      <c r="K79" s="9"/>
      <c r="L79" s="9"/>
      <c r="M79" s="9"/>
      <c r="N79" s="9"/>
    </row>
    <row r="80" customFormat="false" ht="19.5" hidden="false" customHeight="true" outlineLevel="0" collapsed="false">
      <c r="B80" s="9" t="n">
        <v>28</v>
      </c>
      <c r="C80" s="9" t="n">
        <f aca="false">B80+$C$23</f>
        <v>46</v>
      </c>
      <c r="D80" s="34" t="n">
        <f aca="false">Stress!G55-Capital!$D$39</f>
        <v>1415757.63170501</v>
      </c>
      <c r="E80" s="34" t="n">
        <f aca="false">Capital!$D$36</f>
        <v>3819550.75026219</v>
      </c>
      <c r="F80" s="34" t="n">
        <f aca="false">Capital!$D$37</f>
        <v>4619550.75026219</v>
      </c>
      <c r="G80" s="34" t="n">
        <f aca="false">Capital!$D$41</f>
        <v>5829550.75026219</v>
      </c>
      <c r="H80" s="9"/>
      <c r="I80" s="9"/>
      <c r="J80" s="9"/>
      <c r="K80" s="9"/>
      <c r="L80" s="9"/>
      <c r="M80" s="9"/>
      <c r="N80" s="9"/>
    </row>
    <row r="81" customFormat="false" ht="19.5" hidden="false" customHeight="true" outlineLevel="0" collapsed="false">
      <c r="B81" s="9" t="n">
        <v>29</v>
      </c>
      <c r="C81" s="9" t="n">
        <f aca="false">B81+$C$23</f>
        <v>47</v>
      </c>
      <c r="D81" s="34" t="n">
        <f aca="false">Stress!H55-Capital!$D$39</f>
        <v>1536676.7823997</v>
      </c>
      <c r="E81" s="34" t="n">
        <f aca="false">Capital!$D$36</f>
        <v>3819550.75026219</v>
      </c>
      <c r="F81" s="34" t="n">
        <f aca="false">Capital!$D$37</f>
        <v>4619550.75026219</v>
      </c>
      <c r="G81" s="34" t="n">
        <f aca="false">Capital!$D$41</f>
        <v>5829550.75026219</v>
      </c>
      <c r="H81" s="9"/>
      <c r="I81" s="9"/>
      <c r="J81" s="9"/>
      <c r="K81" s="9"/>
      <c r="L81" s="9"/>
      <c r="M81" s="9"/>
      <c r="N81" s="9"/>
    </row>
    <row r="82" customFormat="false" ht="19.5" hidden="false" customHeight="true" outlineLevel="0" collapsed="false">
      <c r="B82" s="9" t="n">
        <v>30</v>
      </c>
      <c r="C82" s="9" t="n">
        <f aca="false">B82+$C$23</f>
        <v>48</v>
      </c>
      <c r="D82" s="34" t="n">
        <f aca="false">Stress!I55-Capital!$D$39</f>
        <v>1657595.93309438</v>
      </c>
      <c r="E82" s="34" t="n">
        <f aca="false">Capital!$D$36</f>
        <v>3819550.75026219</v>
      </c>
      <c r="F82" s="34" t="n">
        <f aca="false">Capital!$D$37</f>
        <v>4619550.75026219</v>
      </c>
      <c r="G82" s="34" t="n">
        <f aca="false">Capital!$D$41</f>
        <v>5829550.75026219</v>
      </c>
      <c r="H82" s="9"/>
      <c r="I82" s="9"/>
      <c r="J82" s="9"/>
      <c r="K82" s="9"/>
      <c r="L82" s="9"/>
      <c r="M82" s="9"/>
      <c r="N82" s="9"/>
    </row>
    <row r="83" customFormat="false" ht="19.5" hidden="false" customHeight="true" outlineLevel="0" collapsed="false">
      <c r="B83" s="9" t="n">
        <v>31</v>
      </c>
      <c r="C83" s="9" t="n">
        <f aca="false">B83+$C$23</f>
        <v>49</v>
      </c>
      <c r="D83" s="34" t="n">
        <f aca="false">Stress!J55-Capital!$D$39</f>
        <v>1778515.08378907</v>
      </c>
      <c r="E83" s="34" t="n">
        <f aca="false">Capital!$D$36</f>
        <v>3819550.75026219</v>
      </c>
      <c r="F83" s="34" t="n">
        <f aca="false">Capital!$D$37</f>
        <v>4619550.75026219</v>
      </c>
      <c r="G83" s="34" t="n">
        <f aca="false">Capital!$D$41</f>
        <v>5829550.75026219</v>
      </c>
      <c r="H83" s="9"/>
      <c r="I83" s="9"/>
      <c r="J83" s="9"/>
      <c r="K83" s="9"/>
      <c r="L83" s="9"/>
      <c r="M83" s="9"/>
      <c r="N83" s="9"/>
    </row>
    <row r="84" customFormat="false" ht="19.5" hidden="false" customHeight="true" outlineLevel="0" collapsed="false">
      <c r="B84" s="9" t="n">
        <v>32</v>
      </c>
      <c r="C84" s="9" t="n">
        <f aca="false">B84+$C$23</f>
        <v>50</v>
      </c>
      <c r="D84" s="34" t="n">
        <f aca="false">Stress!K55-Capital!$D$39</f>
        <v>1899434.23448376</v>
      </c>
      <c r="E84" s="34" t="n">
        <f aca="false">Capital!$D$36</f>
        <v>3819550.75026219</v>
      </c>
      <c r="F84" s="34" t="n">
        <f aca="false">Capital!$D$37</f>
        <v>4619550.75026219</v>
      </c>
      <c r="G84" s="34" t="n">
        <f aca="false">Capital!$D$41</f>
        <v>5829550.75026219</v>
      </c>
      <c r="H84" s="9"/>
      <c r="I84" s="9"/>
      <c r="J84" s="9"/>
      <c r="K84" s="9"/>
      <c r="L84" s="9"/>
      <c r="M84" s="9"/>
      <c r="N84" s="9"/>
    </row>
    <row r="85" customFormat="false" ht="19.5" hidden="false" customHeight="true" outlineLevel="0" collapsed="false">
      <c r="B85" s="9" t="n">
        <v>33</v>
      </c>
      <c r="C85" s="9" t="n">
        <f aca="false">B85+$C$23</f>
        <v>51</v>
      </c>
      <c r="D85" s="34" t="n">
        <f aca="false">Stress!L55-Capital!$D$39</f>
        <v>2020353.38517845</v>
      </c>
      <c r="E85" s="34" t="n">
        <f aca="false">Capital!$D$36</f>
        <v>3819550.75026219</v>
      </c>
      <c r="F85" s="34" t="n">
        <f aca="false">Capital!$D$37</f>
        <v>4619550.75026219</v>
      </c>
      <c r="G85" s="34" t="n">
        <f aca="false">Capital!$D$41</f>
        <v>5829550.75026219</v>
      </c>
      <c r="H85" s="9"/>
      <c r="I85" s="9"/>
      <c r="J85" s="9"/>
      <c r="K85" s="9"/>
      <c r="L85" s="9"/>
      <c r="M85" s="9"/>
      <c r="N85" s="9"/>
    </row>
    <row r="86" customFormat="false" ht="19.5" hidden="false" customHeight="true" outlineLevel="0" collapsed="false">
      <c r="B86" s="9" t="n">
        <v>34</v>
      </c>
      <c r="C86" s="9" t="n">
        <f aca="false">B86+$C$23</f>
        <v>52</v>
      </c>
      <c r="D86" s="34" t="n">
        <f aca="false">Stress!M55-Capital!$D$39</f>
        <v>2141272.53587314</v>
      </c>
      <c r="E86" s="34" t="n">
        <f aca="false">Capital!$D$36</f>
        <v>3819550.75026219</v>
      </c>
      <c r="F86" s="34" t="n">
        <f aca="false">Capital!$D$37</f>
        <v>4619550.75026219</v>
      </c>
      <c r="G86" s="34" t="n">
        <f aca="false">Capital!$D$41</f>
        <v>5829550.75026219</v>
      </c>
      <c r="H86" s="9"/>
      <c r="I86" s="9"/>
      <c r="J86" s="9"/>
      <c r="K86" s="9"/>
      <c r="L86" s="9"/>
      <c r="M86" s="9"/>
      <c r="N86" s="9"/>
    </row>
    <row r="87" customFormat="false" ht="19.5" hidden="false" customHeight="true" outlineLevel="0" collapsed="false">
      <c r="B87" s="9" t="n">
        <v>35</v>
      </c>
      <c r="C87" s="9" t="n">
        <f aca="false">B87+$C$23</f>
        <v>53</v>
      </c>
      <c r="D87" s="34" t="n">
        <f aca="false">Stress!N55-Capital!$D$39</f>
        <v>2262191.68656783</v>
      </c>
      <c r="E87" s="34" t="n">
        <f aca="false">Capital!$D$36</f>
        <v>3819550.75026219</v>
      </c>
      <c r="F87" s="34" t="n">
        <f aca="false">Capital!$D$37</f>
        <v>4619550.75026219</v>
      </c>
      <c r="G87" s="34" t="n">
        <f aca="false">Capital!$D$41</f>
        <v>5829550.75026219</v>
      </c>
      <c r="H87" s="9"/>
      <c r="I87" s="9"/>
      <c r="J87" s="9"/>
      <c r="K87" s="9"/>
      <c r="L87" s="9"/>
      <c r="M87" s="9"/>
      <c r="N87" s="9"/>
    </row>
    <row r="88" customFormat="false" ht="19.5" hidden="false" customHeight="true" outlineLevel="0" collapsed="false">
      <c r="B88" s="9" t="n">
        <v>36</v>
      </c>
      <c r="C88" s="9" t="n">
        <f aca="false">B88+$C$23</f>
        <v>54</v>
      </c>
      <c r="D88" s="34" t="n">
        <f aca="false">Stress!O55-Capital!$D$39</f>
        <v>2383110.83726252</v>
      </c>
      <c r="E88" s="34" t="n">
        <f aca="false">Capital!$D$36</f>
        <v>3819550.75026219</v>
      </c>
      <c r="F88" s="34" t="n">
        <f aca="false">Capital!$D$37</f>
        <v>4619550.75026219</v>
      </c>
      <c r="G88" s="34" t="n">
        <f aca="false">Capital!$D$41</f>
        <v>5829550.75026219</v>
      </c>
      <c r="H88" s="9"/>
      <c r="I88" s="9"/>
      <c r="J88" s="9"/>
      <c r="K88" s="9"/>
      <c r="L88" s="9"/>
      <c r="M88" s="9"/>
      <c r="N88" s="9"/>
    </row>
    <row r="89" customFormat="false" ht="19.5" hidden="false" customHeight="true" outlineLevel="0" collapsed="false">
      <c r="B89" s="9" t="n">
        <v>37</v>
      </c>
      <c r="C89" s="9" t="n">
        <f aca="false">B89+$C$23</f>
        <v>55</v>
      </c>
      <c r="D89" s="34" t="n">
        <f aca="false">Stress!D56-Capital!$D$39</f>
        <v>2291712.40362784</v>
      </c>
      <c r="E89" s="34" t="n">
        <f aca="false">Capital!$D$36</f>
        <v>3819550.75026219</v>
      </c>
      <c r="F89" s="34" t="n">
        <f aca="false">Capital!$D$37</f>
        <v>4619550.75026219</v>
      </c>
      <c r="G89" s="34" t="n">
        <f aca="false">Capital!$D$41</f>
        <v>5829550.75026219</v>
      </c>
      <c r="H89" s="9"/>
      <c r="I89" s="9"/>
      <c r="J89" s="9"/>
      <c r="K89" s="9"/>
      <c r="L89" s="9"/>
      <c r="M89" s="9"/>
      <c r="N89" s="9"/>
    </row>
    <row r="90" customFormat="false" ht="19.5" hidden="false" customHeight="true" outlineLevel="0" collapsed="false">
      <c r="B90" s="9" t="n">
        <v>38</v>
      </c>
      <c r="C90" s="9" t="n">
        <f aca="false">B90+$C$23</f>
        <v>56</v>
      </c>
      <c r="D90" s="34" t="n">
        <f aca="false">Stress!E56-Capital!$D$39</f>
        <v>2200313.96999316</v>
      </c>
      <c r="E90" s="34" t="n">
        <f aca="false">Capital!$D$36</f>
        <v>3819550.75026219</v>
      </c>
      <c r="F90" s="34" t="n">
        <f aca="false">Capital!$D$37</f>
        <v>4619550.75026219</v>
      </c>
      <c r="G90" s="34" t="n">
        <f aca="false">Capital!$D$41</f>
        <v>5829550.75026219</v>
      </c>
      <c r="H90" s="9"/>
      <c r="I90" s="9"/>
      <c r="J90" s="9"/>
      <c r="K90" s="9"/>
      <c r="L90" s="9"/>
      <c r="M90" s="9"/>
      <c r="N90" s="9"/>
    </row>
    <row r="91" customFormat="false" ht="19.5" hidden="false" customHeight="true" outlineLevel="0" collapsed="false">
      <c r="B91" s="9" t="n">
        <v>39</v>
      </c>
      <c r="C91" s="9" t="n">
        <f aca="false">B91+$C$23</f>
        <v>57</v>
      </c>
      <c r="D91" s="34" t="n">
        <f aca="false">Stress!F56-Capital!$D$39</f>
        <v>2343574.33702227</v>
      </c>
      <c r="E91" s="34" t="n">
        <f aca="false">Capital!$D$36</f>
        <v>3819550.75026219</v>
      </c>
      <c r="F91" s="34" t="n">
        <f aca="false">Capital!$D$37</f>
        <v>4619550.75026219</v>
      </c>
      <c r="G91" s="34" t="n">
        <f aca="false">Capital!$D$41</f>
        <v>5829550.75026219</v>
      </c>
      <c r="H91" s="9"/>
      <c r="I91" s="9"/>
      <c r="J91" s="9"/>
      <c r="K91" s="9"/>
      <c r="L91" s="9"/>
      <c r="M91" s="9"/>
      <c r="N91" s="9"/>
    </row>
    <row r="92" customFormat="false" ht="19.5" hidden="false" customHeight="true" outlineLevel="0" collapsed="false">
      <c r="B92" s="9" t="n">
        <v>40</v>
      </c>
      <c r="C92" s="9" t="n">
        <f aca="false">B92+$C$23</f>
        <v>58</v>
      </c>
      <c r="D92" s="34" t="n">
        <f aca="false">Stress!G56-Capital!$D$39</f>
        <v>2486834.70405137</v>
      </c>
      <c r="E92" s="34" t="n">
        <f aca="false">Capital!$D$36</f>
        <v>3819550.75026219</v>
      </c>
      <c r="F92" s="34" t="n">
        <f aca="false">Capital!$D$37</f>
        <v>4619550.75026219</v>
      </c>
      <c r="G92" s="34" t="n">
        <f aca="false">Capital!$D$41</f>
        <v>5829550.75026219</v>
      </c>
      <c r="H92" s="9"/>
      <c r="I92" s="9"/>
      <c r="J92" s="9"/>
      <c r="K92" s="9"/>
      <c r="L92" s="9"/>
      <c r="M92" s="9"/>
      <c r="N92" s="9"/>
    </row>
    <row r="93" customFormat="false" ht="19.5" hidden="false" customHeight="true" outlineLevel="0" collapsed="false">
      <c r="B93" s="9" t="n">
        <v>41</v>
      </c>
      <c r="C93" s="9" t="n">
        <f aca="false">B93+$C$23</f>
        <v>59</v>
      </c>
      <c r="D93" s="34" t="n">
        <f aca="false">Stress!H56-Capital!$D$39</f>
        <v>2630095.07108048</v>
      </c>
      <c r="E93" s="34" t="n">
        <f aca="false">Capital!$D$36</f>
        <v>3819550.75026219</v>
      </c>
      <c r="F93" s="34" t="n">
        <f aca="false">Capital!$D$37</f>
        <v>4619550.75026219</v>
      </c>
      <c r="G93" s="34" t="n">
        <f aca="false">Capital!$D$41</f>
        <v>5829550.75026219</v>
      </c>
      <c r="H93" s="9"/>
      <c r="I93" s="9"/>
      <c r="J93" s="9"/>
      <c r="K93" s="9"/>
      <c r="L93" s="9"/>
      <c r="M93" s="9"/>
      <c r="N93" s="9"/>
    </row>
    <row r="94" customFormat="false" ht="19.5" hidden="false" customHeight="true" outlineLevel="0" collapsed="false">
      <c r="B94" s="9" t="n">
        <v>42</v>
      </c>
      <c r="C94" s="9" t="n">
        <f aca="false">B94+$C$23</f>
        <v>60</v>
      </c>
      <c r="D94" s="34" t="n">
        <f aca="false">Stress!I56-Capital!$D$39</f>
        <v>2773355.43810958</v>
      </c>
      <c r="E94" s="34" t="n">
        <f aca="false">Capital!$D$36</f>
        <v>3819550.75026219</v>
      </c>
      <c r="F94" s="34" t="n">
        <f aca="false">Capital!$D$37</f>
        <v>4619550.75026219</v>
      </c>
      <c r="G94" s="34" t="n">
        <f aca="false">Capital!$D$41</f>
        <v>5829550.75026219</v>
      </c>
      <c r="H94" s="9"/>
      <c r="I94" s="9"/>
      <c r="J94" s="9"/>
      <c r="K94" s="9"/>
      <c r="L94" s="9"/>
      <c r="M94" s="9"/>
      <c r="N94" s="9"/>
    </row>
    <row r="95" customFormat="false" ht="19.5" hidden="false" customHeight="true" outlineLevel="0" collapsed="false">
      <c r="B95" s="9" t="n">
        <v>43</v>
      </c>
      <c r="C95" s="9" t="n">
        <f aca="false">B95+$C$23</f>
        <v>61</v>
      </c>
      <c r="D95" s="34" t="n">
        <f aca="false">Stress!J56-Capital!$D$39</f>
        <v>2916615.80513869</v>
      </c>
      <c r="E95" s="34" t="n">
        <f aca="false">Capital!$D$36</f>
        <v>3819550.75026219</v>
      </c>
      <c r="F95" s="34" t="n">
        <f aca="false">Capital!$D$37</f>
        <v>4619550.75026219</v>
      </c>
      <c r="G95" s="34" t="n">
        <f aca="false">Capital!$D$41</f>
        <v>5829550.75026219</v>
      </c>
      <c r="H95" s="9"/>
      <c r="I95" s="9"/>
      <c r="J95" s="9"/>
      <c r="K95" s="9"/>
      <c r="L95" s="9"/>
      <c r="M95" s="9"/>
      <c r="N95" s="9"/>
    </row>
    <row r="96" customFormat="false" ht="19.5" hidden="false" customHeight="true" outlineLevel="0" collapsed="false">
      <c r="B96" s="9" t="n">
        <v>44</v>
      </c>
      <c r="C96" s="9" t="n">
        <f aca="false">B96+$C$23</f>
        <v>62</v>
      </c>
      <c r="D96" s="34" t="n">
        <f aca="false">Stress!K56-Capital!$D$39</f>
        <v>3059876.17216779</v>
      </c>
      <c r="E96" s="34" t="n">
        <f aca="false">Capital!$D$36</f>
        <v>3819550.75026219</v>
      </c>
      <c r="F96" s="34" t="n">
        <f aca="false">Capital!$D$37</f>
        <v>4619550.75026219</v>
      </c>
      <c r="G96" s="34" t="n">
        <f aca="false">Capital!$D$41</f>
        <v>5829550.75026219</v>
      </c>
      <c r="H96" s="9"/>
      <c r="I96" s="9"/>
      <c r="J96" s="9"/>
      <c r="K96" s="9"/>
      <c r="L96" s="9"/>
      <c r="M96" s="9"/>
      <c r="N96" s="9"/>
    </row>
    <row r="97" customFormat="false" ht="19.5" hidden="false" customHeight="true" outlineLevel="0" collapsed="false">
      <c r="B97" s="9" t="n">
        <v>45</v>
      </c>
      <c r="C97" s="9" t="n">
        <f aca="false">B97+$C$23</f>
        <v>63</v>
      </c>
      <c r="D97" s="34" t="n">
        <f aca="false">Stress!L56-Capital!$D$39</f>
        <v>3203136.5391969</v>
      </c>
      <c r="E97" s="34" t="n">
        <f aca="false">Capital!$D$36</f>
        <v>3819550.75026219</v>
      </c>
      <c r="F97" s="34" t="n">
        <f aca="false">Capital!$D$37</f>
        <v>4619550.75026219</v>
      </c>
      <c r="G97" s="34" t="n">
        <f aca="false">Capital!$D$41</f>
        <v>5829550.75026219</v>
      </c>
      <c r="H97" s="9"/>
      <c r="I97" s="9"/>
      <c r="J97" s="9"/>
      <c r="K97" s="9"/>
      <c r="L97" s="9"/>
      <c r="M97" s="9"/>
      <c r="N97" s="9"/>
    </row>
    <row r="98" customFormat="false" ht="19.5" hidden="false" customHeight="true" outlineLevel="0" collapsed="false">
      <c r="B98" s="9" t="n">
        <v>46</v>
      </c>
      <c r="C98" s="9" t="n">
        <f aca="false">B98+$C$23</f>
        <v>64</v>
      </c>
      <c r="D98" s="34" t="n">
        <f aca="false">Stress!M56-Capital!$D$39</f>
        <v>3346396.906226</v>
      </c>
      <c r="E98" s="34" t="n">
        <f aca="false">Capital!$D$36</f>
        <v>3819550.75026219</v>
      </c>
      <c r="F98" s="34" t="n">
        <f aca="false">Capital!$D$37</f>
        <v>4619550.75026219</v>
      </c>
      <c r="G98" s="34" t="n">
        <f aca="false">Capital!$D$41</f>
        <v>5829550.75026219</v>
      </c>
      <c r="H98" s="9"/>
      <c r="I98" s="9"/>
      <c r="J98" s="9"/>
      <c r="K98" s="9"/>
      <c r="L98" s="9"/>
      <c r="M98" s="9"/>
      <c r="N98" s="9"/>
    </row>
    <row r="99" customFormat="false" ht="19.5" hidden="false" customHeight="true" outlineLevel="0" collapsed="false">
      <c r="B99" s="9" t="n">
        <v>47</v>
      </c>
      <c r="C99" s="9" t="n">
        <f aca="false">B99+$C$23</f>
        <v>65</v>
      </c>
      <c r="D99" s="34" t="n">
        <f aca="false">Stress!N56-Capital!$D$39</f>
        <v>3489657.27325511</v>
      </c>
      <c r="E99" s="34" t="n">
        <f aca="false">Capital!$D$36</f>
        <v>3819550.75026219</v>
      </c>
      <c r="F99" s="34" t="n">
        <f aca="false">Capital!$D$37</f>
        <v>4619550.75026219</v>
      </c>
      <c r="G99" s="34" t="n">
        <f aca="false">Capital!$D$41</f>
        <v>5829550.75026219</v>
      </c>
      <c r="H99" s="9"/>
      <c r="I99" s="9"/>
      <c r="J99" s="9"/>
      <c r="K99" s="9"/>
      <c r="L99" s="9"/>
      <c r="M99" s="9"/>
      <c r="N99" s="9"/>
    </row>
    <row r="100" customFormat="false" ht="19.5" hidden="false" customHeight="true" outlineLevel="0" collapsed="false">
      <c r="B100" s="9" t="n">
        <v>48</v>
      </c>
      <c r="C100" s="9" t="n">
        <f aca="false">B100+$C$23</f>
        <v>66</v>
      </c>
      <c r="D100" s="34" t="n">
        <f aca="false">Stress!O56-Capital!$D$39</f>
        <v>3632917.64028421</v>
      </c>
      <c r="E100" s="34" t="n">
        <f aca="false">Capital!$D$36</f>
        <v>3819550.75026219</v>
      </c>
      <c r="F100" s="34" t="n">
        <f aca="false">Capital!$D$37</f>
        <v>4619550.75026219</v>
      </c>
      <c r="G100" s="34" t="n">
        <f aca="false">Capital!$D$41</f>
        <v>5829550.75026219</v>
      </c>
      <c r="H100" s="9"/>
      <c r="I100" s="9"/>
      <c r="J100" s="9"/>
      <c r="K100" s="9"/>
      <c r="L100" s="9"/>
      <c r="M100" s="9"/>
      <c r="N100" s="9"/>
    </row>
    <row r="101" customFormat="false" ht="19.5" hidden="false" customHeight="true" outlineLevel="0" collapsed="false">
      <c r="B101" s="9" t="n">
        <v>49</v>
      </c>
      <c r="C101" s="9" t="n">
        <f aca="false">B101+$C$23</f>
        <v>67</v>
      </c>
      <c r="D101" s="34" t="n">
        <f aca="false">Stress!D57-Capital!$D$39</f>
        <v>3530963.94074606</v>
      </c>
      <c r="E101" s="34" t="n">
        <f aca="false">Capital!$D$36</f>
        <v>3819550.75026219</v>
      </c>
      <c r="F101" s="34" t="n">
        <f aca="false">Capital!$D$37</f>
        <v>4619550.75026219</v>
      </c>
      <c r="G101" s="34" t="n">
        <f aca="false">Capital!$D$41</f>
        <v>5829550.75026219</v>
      </c>
      <c r="H101" s="9"/>
      <c r="I101" s="9"/>
      <c r="J101" s="9"/>
      <c r="K101" s="9"/>
      <c r="L101" s="9"/>
      <c r="M101" s="9"/>
      <c r="N101" s="9"/>
    </row>
    <row r="102" customFormat="false" ht="19.5" hidden="false" customHeight="true" outlineLevel="0" collapsed="false">
      <c r="B102" s="9" t="n">
        <v>50</v>
      </c>
      <c r="C102" s="9" t="n">
        <f aca="false">B102+$C$23</f>
        <v>68</v>
      </c>
      <c r="D102" s="34" t="n">
        <f aca="false">Stress!E57-Capital!$D$39</f>
        <v>3429010.24120791</v>
      </c>
      <c r="E102" s="34" t="n">
        <f aca="false">Capital!$D$36</f>
        <v>3819550.75026219</v>
      </c>
      <c r="F102" s="34" t="n">
        <f aca="false">Capital!$D$37</f>
        <v>4619550.75026219</v>
      </c>
      <c r="G102" s="34" t="n">
        <f aca="false">Capital!$D$41</f>
        <v>5829550.75026219</v>
      </c>
      <c r="H102" s="9"/>
      <c r="I102" s="9"/>
      <c r="J102" s="9"/>
      <c r="K102" s="9"/>
      <c r="L102" s="9"/>
      <c r="M102" s="9"/>
      <c r="N102" s="9"/>
    </row>
    <row r="103" customFormat="false" ht="19.5" hidden="false" customHeight="true" outlineLevel="0" collapsed="false">
      <c r="B103" s="9" t="n">
        <v>51</v>
      </c>
      <c r="C103" s="9" t="n">
        <f aca="false">B103+$C$23</f>
        <v>69</v>
      </c>
      <c r="D103" s="34" t="n">
        <f aca="false">Stress!F57-Capital!$D$39</f>
        <v>3596508.49473867</v>
      </c>
      <c r="E103" s="34" t="n">
        <f aca="false">Capital!$D$36</f>
        <v>3819550.75026219</v>
      </c>
      <c r="F103" s="34" t="n">
        <f aca="false">Capital!$D$37</f>
        <v>4619550.75026219</v>
      </c>
      <c r="G103" s="34" t="n">
        <f aca="false">Capital!$D$41</f>
        <v>5829550.75026219</v>
      </c>
      <c r="H103" s="9"/>
      <c r="I103" s="9"/>
      <c r="J103" s="9"/>
      <c r="K103" s="9"/>
      <c r="L103" s="9"/>
      <c r="M103" s="9"/>
      <c r="N103" s="9"/>
    </row>
    <row r="104" customFormat="false" ht="19.5" hidden="false" customHeight="true" outlineLevel="0" collapsed="false">
      <c r="B104" s="9" t="n">
        <v>52</v>
      </c>
      <c r="C104" s="9" t="n">
        <f aca="false">B104+$C$23</f>
        <v>70</v>
      </c>
      <c r="D104" s="34" t="n">
        <f aca="false">Stress!G57-Capital!$D$39</f>
        <v>3764006.74826943</v>
      </c>
      <c r="E104" s="34" t="n">
        <f aca="false">Capital!$D$36</f>
        <v>3819550.75026219</v>
      </c>
      <c r="F104" s="34" t="n">
        <f aca="false">Capital!$D$37</f>
        <v>4619550.75026219</v>
      </c>
      <c r="G104" s="34" t="n">
        <f aca="false">Capital!$D$41</f>
        <v>5829550.75026219</v>
      </c>
      <c r="H104" s="9"/>
      <c r="I104" s="9"/>
      <c r="J104" s="9"/>
      <c r="K104" s="9"/>
      <c r="L104" s="9"/>
      <c r="M104" s="9"/>
      <c r="N104" s="9"/>
    </row>
    <row r="105" customFormat="false" ht="19.5" hidden="false" customHeight="true" outlineLevel="0" collapsed="false">
      <c r="B105" s="9" t="n">
        <v>53</v>
      </c>
      <c r="C105" s="9" t="n">
        <f aca="false">B105+$C$23</f>
        <v>71</v>
      </c>
      <c r="D105" s="34" t="n">
        <f aca="false">Stress!H57-Capital!$D$39</f>
        <v>3931505.0018002</v>
      </c>
      <c r="E105" s="34" t="n">
        <f aca="false">Capital!$D$36</f>
        <v>3819550.75026219</v>
      </c>
      <c r="F105" s="34" t="n">
        <f aca="false">Capital!$D$37</f>
        <v>4619550.75026219</v>
      </c>
      <c r="G105" s="34" t="n">
        <f aca="false">Capital!$D$41</f>
        <v>5829550.75026219</v>
      </c>
      <c r="H105" s="9"/>
      <c r="I105" s="9"/>
      <c r="J105" s="9"/>
      <c r="K105" s="9"/>
      <c r="L105" s="9"/>
      <c r="M105" s="9"/>
      <c r="N105" s="9"/>
    </row>
    <row r="106" customFormat="false" ht="19.5" hidden="false" customHeight="true" outlineLevel="0" collapsed="false">
      <c r="B106" s="9" t="n">
        <v>54</v>
      </c>
      <c r="C106" s="9" t="n">
        <f aca="false">B106+$C$23</f>
        <v>72</v>
      </c>
      <c r="D106" s="34" t="n">
        <f aca="false">Stress!I57-Capital!$D$39</f>
        <v>4099003.25533096</v>
      </c>
      <c r="E106" s="34" t="n">
        <f aca="false">Capital!$D$36</f>
        <v>3819550.75026219</v>
      </c>
      <c r="F106" s="34" t="n">
        <f aca="false">Capital!$D$37</f>
        <v>4619550.75026219</v>
      </c>
      <c r="G106" s="34" t="n">
        <f aca="false">Capital!$D$41</f>
        <v>5829550.75026219</v>
      </c>
      <c r="H106" s="9"/>
      <c r="I106" s="9"/>
      <c r="J106" s="9"/>
      <c r="K106" s="9"/>
      <c r="L106" s="9"/>
      <c r="M106" s="9"/>
      <c r="N106" s="9"/>
    </row>
    <row r="107" customFormat="false" ht="19.5" hidden="false" customHeight="true" outlineLevel="0" collapsed="false">
      <c r="B107" s="9" t="n">
        <v>55</v>
      </c>
      <c r="C107" s="9" t="n">
        <f aca="false">B107+$C$23</f>
        <v>73</v>
      </c>
      <c r="D107" s="34" t="n">
        <f aca="false">Stress!J57-Capital!$D$39</f>
        <v>4266501.50886172</v>
      </c>
      <c r="E107" s="34" t="n">
        <f aca="false">Capital!$D$36</f>
        <v>3819550.75026219</v>
      </c>
      <c r="F107" s="34" t="n">
        <f aca="false">Capital!$D$37</f>
        <v>4619550.75026219</v>
      </c>
      <c r="G107" s="34" t="n">
        <f aca="false">Capital!$D$41</f>
        <v>5829550.75026219</v>
      </c>
      <c r="H107" s="9"/>
      <c r="I107" s="9"/>
      <c r="J107" s="9"/>
      <c r="K107" s="9"/>
      <c r="L107" s="9"/>
      <c r="M107" s="9"/>
      <c r="N107" s="9"/>
    </row>
    <row r="108" customFormat="false" ht="19.5" hidden="false" customHeight="true" outlineLevel="0" collapsed="false">
      <c r="B108" s="9" t="n">
        <v>56</v>
      </c>
      <c r="C108" s="9" t="n">
        <f aca="false">B108+$C$23</f>
        <v>74</v>
      </c>
      <c r="D108" s="34" t="n">
        <f aca="false">Stress!K57-Capital!$D$39</f>
        <v>4433999.76239248</v>
      </c>
      <c r="E108" s="34" t="n">
        <f aca="false">Capital!$D$36</f>
        <v>3819550.75026219</v>
      </c>
      <c r="F108" s="34" t="n">
        <f aca="false">Capital!$D$37</f>
        <v>4619550.75026219</v>
      </c>
      <c r="G108" s="34" t="n">
        <f aca="false">Capital!$D$41</f>
        <v>5829550.75026219</v>
      </c>
      <c r="H108" s="9"/>
      <c r="I108" s="9"/>
      <c r="J108" s="9"/>
      <c r="K108" s="9"/>
      <c r="L108" s="9"/>
      <c r="M108" s="9"/>
      <c r="N108" s="9"/>
    </row>
    <row r="109" customFormat="false" ht="19.5" hidden="false" customHeight="true" outlineLevel="0" collapsed="false">
      <c r="B109" s="9" t="n">
        <v>57</v>
      </c>
      <c r="C109" s="9" t="n">
        <f aca="false">B109+$C$23</f>
        <v>75</v>
      </c>
      <c r="D109" s="34" t="n">
        <f aca="false">Stress!L57-Capital!$D$39</f>
        <v>4601498.01592324</v>
      </c>
      <c r="E109" s="34" t="n">
        <f aca="false">Capital!$D$36</f>
        <v>3819550.75026219</v>
      </c>
      <c r="F109" s="34" t="n">
        <f aca="false">Capital!$D$37</f>
        <v>4619550.75026219</v>
      </c>
      <c r="G109" s="34" t="n">
        <f aca="false">Capital!$D$41</f>
        <v>5829550.75026219</v>
      </c>
      <c r="H109" s="9"/>
      <c r="I109" s="9"/>
      <c r="J109" s="9"/>
      <c r="K109" s="9"/>
      <c r="L109" s="9"/>
      <c r="M109" s="9"/>
      <c r="N109" s="9"/>
    </row>
    <row r="110" customFormat="false" ht="19.5" hidden="false" customHeight="true" outlineLevel="0" collapsed="false">
      <c r="B110" s="9" t="n">
        <v>58</v>
      </c>
      <c r="C110" s="9" t="n">
        <f aca="false">B110+$C$23</f>
        <v>76</v>
      </c>
      <c r="D110" s="34" t="n">
        <f aca="false">Stress!M57-Capital!$D$39</f>
        <v>4768996.269454</v>
      </c>
      <c r="E110" s="34" t="n">
        <f aca="false">Capital!$D$36</f>
        <v>3819550.75026219</v>
      </c>
      <c r="F110" s="34" t="n">
        <f aca="false">Capital!$D$37</f>
        <v>4619550.75026219</v>
      </c>
      <c r="G110" s="34" t="n">
        <f aca="false">Capital!$D$41</f>
        <v>5829550.75026219</v>
      </c>
      <c r="H110" s="9"/>
      <c r="I110" s="9"/>
      <c r="J110" s="9"/>
      <c r="K110" s="9"/>
      <c r="L110" s="9"/>
      <c r="M110" s="9"/>
      <c r="N110" s="9"/>
    </row>
    <row r="111" customFormat="false" ht="19.5" hidden="false" customHeight="true" outlineLevel="0" collapsed="false">
      <c r="B111" s="9" t="n">
        <v>59</v>
      </c>
      <c r="C111" s="9" t="n">
        <f aca="false">B111+$C$23</f>
        <v>77</v>
      </c>
      <c r="D111" s="34" t="n">
        <f aca="false">Stress!N57-Capital!$D$39</f>
        <v>4936494.52298476</v>
      </c>
      <c r="E111" s="34" t="n">
        <f aca="false">Capital!$D$36</f>
        <v>3819550.75026219</v>
      </c>
      <c r="F111" s="34" t="n">
        <f aca="false">Capital!$D$37</f>
        <v>4619550.75026219</v>
      </c>
      <c r="G111" s="34" t="n">
        <f aca="false">Capital!$D$41</f>
        <v>5829550.75026219</v>
      </c>
      <c r="H111" s="9"/>
      <c r="I111" s="9"/>
      <c r="J111" s="9"/>
      <c r="K111" s="9"/>
      <c r="L111" s="9"/>
      <c r="M111" s="9"/>
      <c r="N111" s="9"/>
    </row>
    <row r="112" customFormat="false" ht="19.5" hidden="false" customHeight="true" outlineLevel="0" collapsed="false">
      <c r="B112" s="9" t="n">
        <v>60</v>
      </c>
      <c r="C112" s="9" t="n">
        <f aca="false">B112+$C$23</f>
        <v>78</v>
      </c>
      <c r="D112" s="34" t="n">
        <f aca="false">Stress!O57-Capital!$D$39</f>
        <v>5103992.77651552</v>
      </c>
      <c r="E112" s="34" t="n">
        <f aca="false">Capital!$D$36</f>
        <v>3819550.75026219</v>
      </c>
      <c r="F112" s="34" t="n">
        <f aca="false">Capital!$D$37</f>
        <v>4619550.75026219</v>
      </c>
      <c r="G112" s="34" t="n">
        <f aca="false">Capital!$D$41</f>
        <v>5829550.75026219</v>
      </c>
      <c r="H112" s="9"/>
      <c r="I112" s="9"/>
      <c r="J112" s="9"/>
      <c r="K112" s="9"/>
      <c r="L112" s="9"/>
      <c r="M112" s="9"/>
      <c r="N112" s="9"/>
    </row>
    <row r="113" customFormat="false" ht="19.5" hidden="false" customHeight="true" outlineLevel="0" collapsed="false"/>
    <row r="114" customFormat="false" ht="33.75" hidden="false" customHeight="true" outlineLevel="0" collapsed="false">
      <c r="B114" s="35" t="s">
        <v>76</v>
      </c>
      <c r="C114" s="35"/>
      <c r="D114" s="35"/>
      <c r="E114" s="35"/>
      <c r="F114" s="35"/>
      <c r="G114" s="35"/>
      <c r="H114" s="35"/>
      <c r="I114" s="35"/>
      <c r="J114" s="35"/>
      <c r="K114" s="35"/>
      <c r="L114" s="35"/>
      <c r="M114" s="35"/>
      <c r="N114" s="35"/>
    </row>
    <row r="115" customFormat="false" ht="33.75" hidden="false" customHeight="true" outlineLevel="0" collapsed="false">
      <c r="B115" s="36" t="s">
        <v>77</v>
      </c>
      <c r="C115" s="36"/>
      <c r="D115" s="36"/>
      <c r="E115" s="36"/>
      <c r="F115" s="36"/>
      <c r="G115" s="36"/>
      <c r="H115" s="36"/>
      <c r="I115" s="36"/>
      <c r="J115" s="36"/>
      <c r="K115" s="36"/>
      <c r="L115" s="36"/>
      <c r="M115" s="36"/>
      <c r="N115" s="36"/>
    </row>
  </sheetData>
  <mergeCells count="18">
    <mergeCell ref="B2:N2"/>
    <mergeCell ref="B3:N3"/>
    <mergeCell ref="B5:E5"/>
    <mergeCell ref="F5:I5"/>
    <mergeCell ref="J5:N5"/>
    <mergeCell ref="B6:E7"/>
    <mergeCell ref="F6:I7"/>
    <mergeCell ref="J6:N7"/>
    <mergeCell ref="B8:E8"/>
    <mergeCell ref="F8:I8"/>
    <mergeCell ref="J8:N8"/>
    <mergeCell ref="F43:N43"/>
    <mergeCell ref="F45:N45"/>
    <mergeCell ref="F47:N47"/>
    <mergeCell ref="F48:N48"/>
    <mergeCell ref="F49:N49"/>
    <mergeCell ref="B114:N114"/>
    <mergeCell ref="B115:N115"/>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6"/>
    <col collapsed="false" customWidth="true" hidden="false" outlineLevel="0" max="6" min="4" style="1" width="20"/>
    <col collapsed="false" customWidth="true" hidden="false" outlineLevel="0" max="9" min="9" style="1" width="50"/>
  </cols>
  <sheetData>
    <row r="2" customFormat="false" ht="15" hidden="false" customHeight="true" outlineLevel="0" collapsed="false">
      <c r="B2" s="37" t="s">
        <v>78</v>
      </c>
    </row>
    <row r="4" customFormat="false" ht="15" hidden="false" customHeight="true" outlineLevel="0" collapsed="false">
      <c r="D4" s="37" t="s">
        <v>17</v>
      </c>
      <c r="E4" s="37" t="s">
        <v>20</v>
      </c>
      <c r="F4" s="37" t="s">
        <v>79</v>
      </c>
    </row>
    <row r="5" customFormat="false" ht="15" hidden="false" customHeight="true" outlineLevel="0" collapsed="false">
      <c r="B5" s="38" t="s">
        <v>80</v>
      </c>
      <c r="D5" s="39" t="n">
        <f aca="false">'Five Year'!D10</f>
        <v>2080000</v>
      </c>
      <c r="E5" s="39" t="n">
        <f aca="false">Average!D10</f>
        <v>2800000</v>
      </c>
      <c r="F5" s="39" t="n">
        <f aca="false">'High Performance'!D10</f>
        <v>3600000</v>
      </c>
      <c r="I5" s="40" t="s">
        <v>81</v>
      </c>
    </row>
    <row r="6" customFormat="false" ht="15" hidden="false" customHeight="true" outlineLevel="0" collapsed="false">
      <c r="B6" s="38" t="s">
        <v>82</v>
      </c>
      <c r="D6" s="39" t="n">
        <f aca="false">'Five Year'!D17</f>
        <v>850856.249047606</v>
      </c>
      <c r="E6" s="39" t="n">
        <f aca="false">Average!D17</f>
        <v>1331156.65420712</v>
      </c>
      <c r="F6" s="39" t="n">
        <f aca="false">'High Performance'!D17</f>
        <v>1882230.12522297</v>
      </c>
    </row>
    <row r="7" customFormat="false" ht="15" hidden="false" customHeight="true" outlineLevel="0" collapsed="false">
      <c r="B7" s="38" t="s">
        <v>83</v>
      </c>
      <c r="D7" s="41" t="n">
        <f aca="false">'Five Year'!D18</f>
        <v>0.409065504349811</v>
      </c>
      <c r="E7" s="41" t="n">
        <f aca="false">Average!D18</f>
        <v>0.475413090788255</v>
      </c>
      <c r="F7" s="41" t="n">
        <f aca="false">'High Performance'!D18</f>
        <v>0.522841701450826</v>
      </c>
    </row>
    <row r="8" customFormat="false" ht="15" hidden="false" customHeight="true" outlineLevel="0" collapsed="false">
      <c r="B8" s="38" t="s">
        <v>84</v>
      </c>
      <c r="D8" s="39" t="n">
        <f aca="false">'Five Year'!D25</f>
        <v>519720.766150541</v>
      </c>
      <c r="E8" s="39" t="n">
        <f aca="false">Average!D25</f>
        <v>798979.049762198</v>
      </c>
      <c r="F8" s="39" t="n">
        <f aca="false">'High Performance'!D25</f>
        <v>1121450.4794733</v>
      </c>
    </row>
    <row r="9" customFormat="false" ht="15" hidden="false" customHeight="true" outlineLevel="0" collapsed="false">
      <c r="B9" s="38" t="s">
        <v>85</v>
      </c>
      <c r="D9" s="39" t="n">
        <f aca="false">'Five Year'!H10</f>
        <v>4267172.1248</v>
      </c>
      <c r="E9" s="39" t="n">
        <f aca="false">Average!H10</f>
        <v>5302403.232</v>
      </c>
      <c r="F9" s="39" t="n">
        <f aca="false">'High Performance'!H10</f>
        <v>6438632.496</v>
      </c>
    </row>
    <row r="10" customFormat="false" ht="15" hidden="false" customHeight="true" outlineLevel="0" collapsed="false">
      <c r="B10" s="38" t="s">
        <v>86</v>
      </c>
      <c r="D10" s="39" t="n">
        <f aca="false">'Five Year'!H17</f>
        <v>2161687.36689967</v>
      </c>
      <c r="E10" s="39" t="n">
        <f aca="false">Average!H17</f>
        <v>2890971.15967331</v>
      </c>
      <c r="F10" s="39" t="n">
        <f aca="false">'High Performance'!H17</f>
        <v>3710244.33458221</v>
      </c>
    </row>
    <row r="11" customFormat="false" ht="15" hidden="false" customHeight="true" outlineLevel="0" collapsed="false">
      <c r="B11" s="38" t="s">
        <v>87</v>
      </c>
      <c r="D11" s="41" t="n">
        <f aca="false">'Five Year'!H18</f>
        <v>0.5065854630837</v>
      </c>
      <c r="E11" s="41" t="n">
        <f aca="false">Average!H18</f>
        <v>0.545219032424072</v>
      </c>
      <c r="F11" s="41" t="n">
        <f aca="false">'High Performance'!H18</f>
        <v>0.576247260095556</v>
      </c>
    </row>
    <row r="12" customFormat="false" ht="15" hidden="false" customHeight="true" outlineLevel="0" collapsed="false">
      <c r="B12" s="38" t="s">
        <v>88</v>
      </c>
      <c r="D12" s="39" t="n">
        <f aca="false">'Five Year'!H25</f>
        <v>1471075.1362313</v>
      </c>
      <c r="E12" s="39" t="n">
        <f aca="false">Average!H25</f>
        <v>1960814.33509893</v>
      </c>
      <c r="F12" s="39" t="n">
        <f aca="false">'High Performance'!H25</f>
        <v>2504020.97568716</v>
      </c>
    </row>
    <row r="13" customFormat="false" ht="15" hidden="false" customHeight="true" outlineLevel="0" collapsed="false">
      <c r="B13" s="38" t="s">
        <v>89</v>
      </c>
      <c r="D13" s="39" t="n">
        <f aca="false">'Five Year'!H26</f>
        <v>5903992.77651551</v>
      </c>
      <c r="E13" s="39" t="n">
        <f aca="false">Average!H26</f>
        <v>8041837.63715975</v>
      </c>
      <c r="F13" s="39" t="n">
        <f aca="false">'High Performance'!H26</f>
        <v>10273406.5703122</v>
      </c>
    </row>
    <row r="14" customFormat="false" ht="15" hidden="false" customHeight="true" outlineLevel="0" collapsed="false">
      <c r="B14" s="38" t="s">
        <v>90</v>
      </c>
      <c r="D14" s="39" t="n">
        <f aca="false">'Five Year'!D28</f>
        <v>5103992.77651551</v>
      </c>
      <c r="E14" s="39" t="n">
        <f aca="false">Average!D28</f>
        <v>7241837.63715975</v>
      </c>
      <c r="F14" s="39" t="n">
        <f aca="false">'High Performance'!D28</f>
        <v>9473406.57031224</v>
      </c>
    </row>
    <row r="15" customFormat="false" ht="15" hidden="false" customHeight="true" outlineLevel="0" collapsed="false">
      <c r="B15" s="38" t="s">
        <v>91</v>
      </c>
      <c r="D15" s="39" t="n">
        <f aca="false">'Five Year'!D29</f>
        <v>1273791.843584</v>
      </c>
      <c r="E15" s="39" t="n">
        <f aca="false">Average!D29</f>
        <v>1659587.88352</v>
      </c>
      <c r="F15" s="39" t="n">
        <f aca="false">'High Performance'!D29</f>
        <v>2048710.33728</v>
      </c>
    </row>
    <row r="16" customFormat="false" ht="15" hidden="false" customHeight="true" outlineLevel="0" collapsed="false">
      <c r="B16" s="38" t="s">
        <v>92</v>
      </c>
      <c r="D16" s="41" t="n">
        <f aca="false">'Five Year'!D30</f>
        <v>0.148924370964548</v>
      </c>
      <c r="E16" s="41" t="n">
        <f aca="false">Average!D30</f>
        <v>0.140066864676225</v>
      </c>
      <c r="F16" s="41" t="n">
        <f aca="false">'High Performance'!D30</f>
        <v>0.132803022547145</v>
      </c>
    </row>
    <row r="17" customFormat="false" ht="15" hidden="false" customHeight="true" outlineLevel="0" collapsed="false">
      <c r="B17" s="38" t="s">
        <v>93</v>
      </c>
      <c r="D17" s="39" t="n">
        <f aca="false">'Five Year'!D31</f>
        <v>3242.69797923435</v>
      </c>
      <c r="E17" s="39" t="n">
        <f aca="false">Average!D31</f>
        <v>2912.48130840698</v>
      </c>
      <c r="F17" s="39" t="n">
        <f aca="false">'High Performance'!D31</f>
        <v>2717.91126721806</v>
      </c>
    </row>
    <row r="20" customFormat="false" ht="15" hidden="false" customHeight="true" outlineLevel="0" collapsed="false">
      <c r="B20" s="37" t="s">
        <v>94</v>
      </c>
      <c r="D20" s="39" t="n">
        <f aca="false">Capital!D37</f>
        <v>4619550.75026219</v>
      </c>
    </row>
    <row r="21" customFormat="false" ht="15" hidden="false" customHeight="true" outlineLevel="0" collapsed="false">
      <c r="B21" s="37" t="s">
        <v>95</v>
      </c>
      <c r="D21" s="39" t="n">
        <f aca="false">Capital!D40</f>
        <v>1210000</v>
      </c>
    </row>
    <row r="22" customFormat="false" ht="15" hidden="false" customHeight="true" outlineLevel="0" collapsed="false">
      <c r="B22" s="37" t="s">
        <v>96</v>
      </c>
      <c r="D22" s="39" t="n">
        <f aca="false">Capital!D41</f>
        <v>5829550.75026219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2"/>
    <col collapsed="false" customWidth="true" hidden="false" outlineLevel="0" max="8" min="4" style="1" width="16"/>
    <col collapsed="false" customWidth="true" hidden="false" outlineLevel="0" max="10" min="10" style="1" width="46"/>
  </cols>
  <sheetData>
    <row r="2" customFormat="false" ht="15" hidden="false" customHeight="true" outlineLevel="0" collapsed="false">
      <c r="B2" s="37" t="s">
        <v>97</v>
      </c>
    </row>
    <row r="3" customFormat="false" ht="15" hidden="false" customHeight="true" outlineLevel="0" collapsed="false">
      <c r="B3" s="40" t="s">
        <v>98</v>
      </c>
    </row>
    <row r="5" customFormat="false" ht="15" hidden="false" customHeight="true" outlineLevel="0" collapsed="false">
      <c r="D5" s="37" t="s">
        <v>99</v>
      </c>
      <c r="E5" s="37" t="s">
        <v>100</v>
      </c>
      <c r="F5" s="37" t="s">
        <v>101</v>
      </c>
      <c r="G5" s="37" t="s">
        <v>102</v>
      </c>
      <c r="H5" s="37" t="s">
        <v>103</v>
      </c>
    </row>
    <row r="7" customFormat="false" ht="15" hidden="false" customHeight="true" outlineLevel="0" collapsed="false">
      <c r="B7" s="38" t="s">
        <v>104</v>
      </c>
      <c r="D7" s="42" t="n">
        <f aca="false">MAX(0,D$50-0)</f>
        <v>0.4</v>
      </c>
      <c r="E7" s="42" t="n">
        <f aca="false">MAX(0,E$50-0)</f>
        <v>0.48</v>
      </c>
      <c r="F7" s="42" t="n">
        <f aca="false">MAX(0,F$50-0)</f>
        <v>0.55</v>
      </c>
      <c r="G7" s="42" t="n">
        <f aca="false">MAX(0,G$50-0)</f>
        <v>0.6</v>
      </c>
      <c r="H7" s="42" t="n">
        <f aca="false">MAX(0,H$50-0)</f>
        <v>0.65</v>
      </c>
      <c r="J7" s="40" t="s">
        <v>105</v>
      </c>
    </row>
    <row r="8" customFormat="false" ht="15" hidden="false" customHeight="true" outlineLevel="0" collapsed="false">
      <c r="B8" s="38" t="s">
        <v>106</v>
      </c>
      <c r="D8" s="43" t="n">
        <f aca="false">$D$49*1*(1+Inputs!$D$49)^0</f>
        <v>6500</v>
      </c>
      <c r="E8" s="43" t="n">
        <f aca="false">$D$49*1*(1+Inputs!$D$49)^1</f>
        <v>6890</v>
      </c>
      <c r="F8" s="43" t="n">
        <f aca="false">$D$49*1*(1+Inputs!$D$49)^2</f>
        <v>7303.4</v>
      </c>
      <c r="G8" s="43" t="n">
        <f aca="false">$D$49*1*(1+Inputs!$D$49)^3</f>
        <v>7741.604</v>
      </c>
      <c r="H8" s="43" t="n">
        <f aca="false">$D$49*1*(1+Inputs!$D$49)^4</f>
        <v>8206.10024</v>
      </c>
    </row>
    <row r="9" customFormat="false" ht="15" hidden="false" customHeight="true" outlineLevel="0" collapsed="false">
      <c r="B9" s="38" t="s">
        <v>107</v>
      </c>
      <c r="D9" s="44" t="n">
        <f aca="false">Inputs!$D$16*D7</f>
        <v>320</v>
      </c>
      <c r="E9" s="44" t="n">
        <f aca="false">Inputs!$D$16*E7</f>
        <v>384</v>
      </c>
      <c r="F9" s="44" t="n">
        <f aca="false">Inputs!$D$16*F7</f>
        <v>440</v>
      </c>
      <c r="G9" s="44" t="n">
        <f aca="false">Inputs!$D$16*G7</f>
        <v>480</v>
      </c>
      <c r="H9" s="44" t="n">
        <f aca="false">Inputs!$D$16*H7</f>
        <v>520</v>
      </c>
    </row>
    <row r="10" customFormat="false" ht="15" hidden="false" customHeight="true" outlineLevel="0" collapsed="false">
      <c r="B10" s="38" t="s">
        <v>108</v>
      </c>
      <c r="D10" s="43" t="n">
        <f aca="false">D9*D8</f>
        <v>2080000</v>
      </c>
      <c r="E10" s="43" t="n">
        <f aca="false">E9*E8</f>
        <v>2645760</v>
      </c>
      <c r="F10" s="43" t="n">
        <f aca="false">F9*F8</f>
        <v>3213496</v>
      </c>
      <c r="G10" s="43" t="n">
        <f aca="false">G9*G8</f>
        <v>3715969.92</v>
      </c>
      <c r="H10" s="43" t="n">
        <f aca="false">H9*H8</f>
        <v>4267172.1248</v>
      </c>
    </row>
    <row r="11" customFormat="false" ht="15" hidden="false" customHeight="true" outlineLevel="0" collapsed="false">
      <c r="B11" s="38" t="s">
        <v>109</v>
      </c>
      <c r="D11" s="45" t="n">
        <f aca="false">((Inputs!$E$41*$D$46/Capital!$D$6)*(1+Inputs!$D$47)^0+Inputs!$E$42*$D$46*(1+Inputs!$D$48)^0)*1</f>
        <v>1153.36676795654</v>
      </c>
      <c r="E11" s="45" t="n">
        <f aca="false">((Inputs!$E$41*$D$46/Capital!$D$6)*(1+Inputs!$D$47)^1+Inputs!$E$42*$D$46*(1+Inputs!$D$48)^1)*1</f>
        <v>1200.06877403394</v>
      </c>
      <c r="F11" s="45" t="n">
        <f aca="false">((Inputs!$E$41*$D$46/Capital!$D$6)*(1+Inputs!$D$47)^2+Inputs!$E$42*$D$46*(1+Inputs!$D$48)^2)*1</f>
        <v>1248.89790047597</v>
      </c>
      <c r="G11" s="45" t="n">
        <f aca="false">((Inputs!$E$41*$D$46/Capital!$D$6)*(1+Inputs!$D$47)^3+Inputs!$E$42*$D$46*(1+Inputs!$D$48)^3)*1</f>
        <v>1299.96152450453</v>
      </c>
      <c r="H11" s="45" t="n">
        <f aca="false">((Inputs!$E$41*$D$46/Capital!$D$6)*(1+Inputs!$D$47)^4+Inputs!$E$42*$D$46*(1+Inputs!$D$48)^4)*1</f>
        <v>1353.3728584748</v>
      </c>
    </row>
    <row r="12" customFormat="false" ht="15" hidden="false" customHeight="true" outlineLevel="0" collapsed="false">
      <c r="B12" s="38" t="s">
        <v>110</v>
      </c>
      <c r="D12" s="43" t="n">
        <f aca="false">D11*D9</f>
        <v>369077.365746094</v>
      </c>
      <c r="E12" s="43" t="n">
        <f aca="false">E11*E9</f>
        <v>460826.409229032</v>
      </c>
      <c r="F12" s="43" t="n">
        <f aca="false">F11*F9</f>
        <v>549515.076209428</v>
      </c>
      <c r="G12" s="43" t="n">
        <f aca="false">G11*G9</f>
        <v>623981.531762175</v>
      </c>
      <c r="H12" s="43" t="n">
        <f aca="false">H11*H9</f>
        <v>703753.886406898</v>
      </c>
    </row>
    <row r="13" customFormat="false" ht="15" hidden="false" customHeight="true" outlineLevel="0" collapsed="false">
      <c r="B13" s="38" t="s">
        <v>111</v>
      </c>
      <c r="D13" s="43" t="n">
        <f aca="false">D10*$D$48</f>
        <v>249600</v>
      </c>
      <c r="E13" s="43" t="n">
        <f aca="false">E10*$D$48</f>
        <v>317491.2</v>
      </c>
      <c r="F13" s="43" t="n">
        <f aca="false">F10*$D$48</f>
        <v>385619.52</v>
      </c>
      <c r="G13" s="43" t="n">
        <f aca="false">G10*$D$48</f>
        <v>445916.3904</v>
      </c>
      <c r="H13" s="43" t="n">
        <f aca="false">H10*$D$48</f>
        <v>512060.654976</v>
      </c>
    </row>
    <row r="14" customFormat="false" ht="15" hidden="false" customHeight="true" outlineLevel="0" collapsed="false">
      <c r="B14" s="38" t="s">
        <v>112</v>
      </c>
      <c r="D14" s="43" t="n">
        <f aca="false">MAX(Inputs!$D$50*1*(1+Inputs!$D$48)^0,Inputs!$D$51*D10)</f>
        <v>166400</v>
      </c>
      <c r="E14" s="43" t="n">
        <f aca="false">MAX(Inputs!$D$50*1*(1+Inputs!$D$48)^1,Inputs!$D$51*E10)</f>
        <v>211660.8</v>
      </c>
      <c r="F14" s="43" t="n">
        <f aca="false">MAX(Inputs!$D$50*1*(1+Inputs!$D$48)^2,Inputs!$D$51*F10)</f>
        <v>257079.68</v>
      </c>
      <c r="G14" s="43" t="n">
        <f aca="false">MAX(Inputs!$D$50*1*(1+Inputs!$D$48)^3,Inputs!$D$51*G10)</f>
        <v>297277.5936</v>
      </c>
      <c r="H14" s="43" t="n">
        <f aca="false">MAX(Inputs!$D$50*1*(1+Inputs!$D$48)^4,Inputs!$D$51*H10)</f>
        <v>341373.769984</v>
      </c>
    </row>
    <row r="15" customFormat="false" ht="15" hidden="false" customHeight="true" outlineLevel="0" collapsed="false">
      <c r="B15" s="38" t="s">
        <v>113</v>
      </c>
      <c r="D15" s="43" t="n">
        <f aca="false">((Inputs!$E$28*$D$47/Capital!$D$6)*(1+Inputs!$D$47)^0+Inputs!$E$29*$D$47*(1+Inputs!$D$48)^0)*1</f>
        <v>384066.3852063</v>
      </c>
      <c r="E15" s="43" t="n">
        <f aca="false">((Inputs!$E$28*$D$47/Capital!$D$6)*(1+Inputs!$D$47)^1+Inputs!$E$29*$D$47*(1+Inputs!$D$48)^1)*1</f>
        <v>406210.368318678</v>
      </c>
      <c r="F15" s="43" t="n">
        <f aca="false">((Inputs!$E$28*$D$47/Capital!$D$6)*(1+Inputs!$D$47)^2+Inputs!$E$29*$D$47*(1+Inputs!$D$48)^2)*1</f>
        <v>429655.990417798</v>
      </c>
      <c r="G15" s="43" t="n">
        <f aca="false">((Inputs!$E$28*$D$47/Capital!$D$6)*(1+Inputs!$D$47)^3+Inputs!$E$29*$D$47*(1+Inputs!$D$48)^3)*1</f>
        <v>454480.539842866</v>
      </c>
      <c r="H15" s="43" t="n">
        <f aca="false">((Inputs!$E$28*$D$47/Capital!$D$6)*(1+Inputs!$D$47)^4+Inputs!$E$29*$D$47*(1+Inputs!$D$48)^4)*1</f>
        <v>480765.917933438</v>
      </c>
    </row>
    <row r="16" customFormat="false" ht="15" hidden="false" customHeight="true" outlineLevel="0" collapsed="false">
      <c r="B16" s="38" t="s">
        <v>114</v>
      </c>
      <c r="D16" s="43" t="n">
        <f aca="false">Inputs!$E$30*$D$47*(1+Inputs!$D$48)^0*1</f>
        <v>60000</v>
      </c>
      <c r="E16" s="43" t="n">
        <f aca="false">Inputs!$E$30*$D$47*(1+Inputs!$D$48)^1*1</f>
        <v>61800</v>
      </c>
      <c r="F16" s="43" t="n">
        <f aca="false">Inputs!$E$30*$D$47*(1+Inputs!$D$48)^2*1</f>
        <v>63654</v>
      </c>
      <c r="G16" s="43" t="n">
        <f aca="false">Inputs!$E$30*$D$47*(1+Inputs!$D$48)^3*1</f>
        <v>65563.62</v>
      </c>
      <c r="H16" s="43" t="n">
        <f aca="false">Inputs!$E$30*$D$47*(1+Inputs!$D$48)^4*1</f>
        <v>67530.5286</v>
      </c>
    </row>
    <row r="17" customFormat="false" ht="15" hidden="false" customHeight="true" outlineLevel="0" collapsed="false">
      <c r="B17" s="37" t="s">
        <v>115</v>
      </c>
      <c r="D17" s="43" t="n">
        <f aca="false">D10-D12-D13-D14-D15-D16</f>
        <v>850856.249047606</v>
      </c>
      <c r="E17" s="43" t="n">
        <f aca="false">E10-E12-E13-E14-E15-E16</f>
        <v>1187771.22245229</v>
      </c>
      <c r="F17" s="43" t="n">
        <f aca="false">F10-F12-F13-F14-F15-F16</f>
        <v>1527971.73337277</v>
      </c>
      <c r="G17" s="43" t="n">
        <f aca="false">G10-G12-G13-G14-G15-G16</f>
        <v>1828750.24439496</v>
      </c>
      <c r="H17" s="43" t="n">
        <f aca="false">H10-H12-H13-H14-H15-H16</f>
        <v>2161687.36689967</v>
      </c>
    </row>
    <row r="18" customFormat="false" ht="15" hidden="false" customHeight="true" outlineLevel="0" collapsed="false">
      <c r="B18" s="38" t="s">
        <v>116</v>
      </c>
      <c r="D18" s="46" t="n">
        <f aca="false">IF(D10=0,0,D17/D10)</f>
        <v>0.409065504349811</v>
      </c>
      <c r="E18" s="46" t="n">
        <f aca="false">IF(E10=0,0,E17/E10)</f>
        <v>0.448933849802057</v>
      </c>
      <c r="F18" s="46" t="n">
        <f aca="false">IF(F10=0,0,F17/F10)</f>
        <v>0.47548580529516</v>
      </c>
      <c r="G18" s="46" t="n">
        <f aca="false">IF(G10=0,0,G17/G10)</f>
        <v>0.492132682385911</v>
      </c>
      <c r="H18" s="46" t="n">
        <f aca="false">IF(H10=0,0,H17/H10)</f>
        <v>0.5065854630837</v>
      </c>
    </row>
    <row r="19" customFormat="false" ht="15" hidden="false" customHeight="true" outlineLevel="0" collapsed="false">
      <c r="B19" s="38" t="s">
        <v>117</v>
      </c>
      <c r="D19" s="43" t="n">
        <f aca="false">D10*Inputs!$D$52</f>
        <v>62400</v>
      </c>
      <c r="E19" s="43" t="n">
        <f aca="false">E10*Inputs!$D$52</f>
        <v>79372.8</v>
      </c>
      <c r="F19" s="43" t="n">
        <f aca="false">F10*Inputs!$D$52</f>
        <v>96404.88</v>
      </c>
      <c r="G19" s="43" t="n">
        <f aca="false">G10*Inputs!$D$52</f>
        <v>111479.0976</v>
      </c>
      <c r="H19" s="43" t="n">
        <f aca="false">H10*Inputs!$D$52</f>
        <v>128015.163744</v>
      </c>
    </row>
    <row r="20" customFormat="false" ht="15" hidden="false" customHeight="true" outlineLevel="0" collapsed="false">
      <c r="B20" s="38" t="s">
        <v>118</v>
      </c>
      <c r="D20" s="43" t="n">
        <f aca="false">'Asset Register'!$G$25+0/5+D19/10</f>
        <v>301737.972724056</v>
      </c>
      <c r="E20" s="43" t="n">
        <f aca="false">'Asset Register'!$G$26+SUM($D19:D19)/5+E19/10</f>
        <v>315915.252724056</v>
      </c>
      <c r="F20" s="43" t="n">
        <f aca="false">'Asset Register'!$G$27+SUM($D19:E19)/5+F19/10</f>
        <v>333493.020724056</v>
      </c>
      <c r="G20" s="43" t="n">
        <f aca="false">'Asset Register'!$G$28+SUM($D19:F19)/5+G19/10</f>
        <v>354281.418484056</v>
      </c>
      <c r="H20" s="43" t="n">
        <f aca="false">'Asset Register'!$G$29+SUM($D19:G19)/5+H19/10</f>
        <v>378230.844618456</v>
      </c>
    </row>
    <row r="21" customFormat="false" ht="15" hidden="false" customHeight="true" outlineLevel="0" collapsed="false">
      <c r="B21" s="38" t="s">
        <v>119</v>
      </c>
      <c r="D21" s="43" t="n">
        <f aca="false">D17-D20</f>
        <v>549118.27632355</v>
      </c>
      <c r="E21" s="43" t="n">
        <f aca="false">E17-E20</f>
        <v>871855.969728235</v>
      </c>
      <c r="F21" s="43" t="n">
        <f aca="false">F17-F20</f>
        <v>1194478.71264872</v>
      </c>
      <c r="G21" s="43" t="n">
        <f aca="false">G17-G20</f>
        <v>1474468.8259109</v>
      </c>
      <c r="H21" s="43" t="n">
        <f aca="false">H17-H20</f>
        <v>1783456.52228121</v>
      </c>
    </row>
    <row r="22" customFormat="false" ht="15" hidden="false" customHeight="true" outlineLevel="0" collapsed="false">
      <c r="B22" s="38" t="s">
        <v>120</v>
      </c>
      <c r="D22" s="43" t="n">
        <f aca="false">MAX(0,D21)*Inputs!$D$54</f>
        <v>164735.482897065</v>
      </c>
      <c r="E22" s="43" t="n">
        <f aca="false">MAX(0,E21)*Inputs!$D$54</f>
        <v>261556.79091847</v>
      </c>
      <c r="F22" s="43" t="n">
        <f aca="false">MAX(0,F21)*Inputs!$D$54</f>
        <v>358343.613794616</v>
      </c>
      <c r="G22" s="43" t="n">
        <f aca="false">MAX(0,G21)*Inputs!$D$54</f>
        <v>442340.647773271</v>
      </c>
      <c r="H22" s="43" t="n">
        <f aca="false">MAX(0,H21)*Inputs!$D$54</f>
        <v>535036.956684363</v>
      </c>
    </row>
    <row r="23" customFormat="false" ht="15" hidden="false" customHeight="true" outlineLevel="0" collapsed="false">
      <c r="B23" s="38" t="s">
        <v>121</v>
      </c>
      <c r="D23" s="43" t="n">
        <f aca="false">D21-D22</f>
        <v>384382.793426485</v>
      </c>
      <c r="E23" s="43" t="n">
        <f aca="false">E21-E22</f>
        <v>610299.178809764</v>
      </c>
      <c r="F23" s="43" t="n">
        <f aca="false">F21-F22</f>
        <v>836135.098854103</v>
      </c>
      <c r="G23" s="43" t="n">
        <f aca="false">G21-G22</f>
        <v>1032128.17813763</v>
      </c>
      <c r="H23" s="43" t="n">
        <f aca="false">H21-H22</f>
        <v>1248419.56559685</v>
      </c>
    </row>
    <row r="24" customFormat="false" ht="15" hidden="false" customHeight="true" outlineLevel="0" collapsed="false">
      <c r="B24" s="38" t="s">
        <v>122</v>
      </c>
      <c r="D24" s="43" t="n">
        <f aca="false">(D10-0)*Inputs!$D$53</f>
        <v>104000</v>
      </c>
      <c r="E24" s="43" t="n">
        <f aca="false">(E10-D10)*Inputs!$D$53</f>
        <v>28288</v>
      </c>
      <c r="F24" s="43" t="n">
        <f aca="false">(F10-E10)*Inputs!$D$53</f>
        <v>28386.8</v>
      </c>
      <c r="G24" s="43" t="n">
        <f aca="false">(G10-F10)*Inputs!$D$53</f>
        <v>25123.696</v>
      </c>
      <c r="H24" s="43" t="n">
        <f aca="false">(H10-G10)*Inputs!$D$53</f>
        <v>27560.1102400001</v>
      </c>
    </row>
    <row r="25" customFormat="false" ht="15" hidden="false" customHeight="true" outlineLevel="0" collapsed="false">
      <c r="B25" s="37" t="s">
        <v>123</v>
      </c>
      <c r="D25" s="43" t="n">
        <f aca="false">D17-D22-D19-D24</f>
        <v>519720.766150541</v>
      </c>
      <c r="E25" s="43" t="n">
        <f aca="false">E17-E22-E19-E24</f>
        <v>818553.63153382</v>
      </c>
      <c r="F25" s="43" t="n">
        <f aca="false">F17-F22-F19-F24</f>
        <v>1044836.43957816</v>
      </c>
      <c r="G25" s="43" t="n">
        <f aca="false">G17-G22-G19-G24</f>
        <v>1249806.80302169</v>
      </c>
      <c r="H25" s="43" t="n">
        <f aca="false">H17-H22-H19-H24</f>
        <v>1471075.1362313</v>
      </c>
    </row>
    <row r="26" customFormat="false" ht="15" hidden="false" customHeight="true" outlineLevel="0" collapsed="false">
      <c r="B26" s="37" t="s">
        <v>124</v>
      </c>
      <c r="D26" s="43" t="n">
        <f aca="false">Capital!$D$39+D25</f>
        <v>1319720.76615054</v>
      </c>
      <c r="E26" s="43" t="n">
        <f aca="false">D26+E25</f>
        <v>2138274.39768436</v>
      </c>
      <c r="F26" s="43" t="n">
        <f aca="false">E26+F25</f>
        <v>3183110.83726252</v>
      </c>
      <c r="G26" s="43" t="n">
        <f aca="false">F26+G25</f>
        <v>4432917.64028421</v>
      </c>
      <c r="H26" s="43" t="n">
        <f aca="false">G26+H25</f>
        <v>5903992.77651551</v>
      </c>
    </row>
    <row r="28" customFormat="false" ht="15" hidden="false" customHeight="true" outlineLevel="0" collapsed="false">
      <c r="B28" s="37" t="s">
        <v>90</v>
      </c>
      <c r="D28" s="43" t="n">
        <f aca="false">SUM(D25:H25)</f>
        <v>5103992.77651551</v>
      </c>
    </row>
    <row r="29" customFormat="false" ht="15" hidden="false" customHeight="true" outlineLevel="0" collapsed="false">
      <c r="B29" s="37" t="s">
        <v>91</v>
      </c>
      <c r="D29" s="43" t="n">
        <f aca="false">SUM(D14:H14)</f>
        <v>1273791.843584</v>
      </c>
    </row>
    <row r="30" customFormat="false" ht="30" hidden="false" customHeight="true" outlineLevel="0" collapsed="false">
      <c r="B30" s="47" t="s">
        <v>125</v>
      </c>
      <c r="D30" s="48" t="n">
        <f aca="false">IF(OR(D8*(1-$D$48)-D11&lt;=0,D8*(1-$D$48-Inputs!$D$51)-D11&lt;=0),"Infeasible",IF(MAX((D15+D16+Inputs!$D$50)/(D8*(1-$D$48)-D11),(D15+D16)/(D8*(1-$D$48-Inputs!$D$51)-D11))&gt;Inputs!$D$16,"Above capacity",MAX((D15+D16+Inputs!$D$50)/(D8*(1-$D$48)-D11),(D15+D16)/(D8*(1-$D$48-Inputs!$D$51)-D11))/Inputs!$D$16))</f>
        <v>0.148924370964548</v>
      </c>
    </row>
    <row r="31" customFormat="false" ht="30" hidden="false" customHeight="true" outlineLevel="0" collapsed="false">
      <c r="B31" s="47" t="s">
        <v>126</v>
      </c>
      <c r="D31" s="49" t="n">
        <f aca="false">IF(OR(D9&lt;=0,1-$D$48&lt;=0,1-$D$48-Inputs!$D$51&lt;=0),"Infeasible",MAX((D15+D16+D11*D9+Inputs!$D$50)/(D9*(1-$D$48)),(D15+D16+D11*D9)/(D9*(1-$D$48-Inputs!$D$51))))</f>
        <v>3242.69797923435</v>
      </c>
    </row>
    <row r="32" customFormat="false" ht="36" hidden="false" customHeight="true" outlineLevel="0" collapsed="false">
      <c r="B32" s="47" t="s">
        <v>127</v>
      </c>
      <c r="D32" s="48" t="n">
        <f aca="false">IF(OR(D8*(1-$D$48)-D11-D8*(Inputs!$D$52+Inputs!$D$53)&lt;=0,D8*(1-$D$48-Inputs!$D$51)-D11-D8*(Inputs!$D$52+Inputs!$D$53)&lt;=0,(1-Inputs!$D$54)*(D8*(1-$D$48)-D11)+Inputs!$D$54*D8*Inputs!$D$52/10-D8*(Inputs!$D$52+Inputs!$D$53)&lt;=0,(1-Inputs!$D$54)*(D8*(1-$D$48-Inputs!$D$51)-D11)+Inputs!$D$54*D8*Inputs!$D$52/10-D8*(Inputs!$D$52+Inputs!$D$53)&lt;=0),"Infeasible",IF(MAX((D15+D16+Inputs!$D$50)/(D8*(1-$D$48)-D11-D8*(Inputs!$D$52+Inputs!$D$53)),(D15+D16)/(D8*(1-$D$48-Inputs!$D$51)-D11-D8*(Inputs!$D$52+Inputs!$D$53)),((1-Inputs!$D$54)*(D15+D16+Inputs!$D$50)-Inputs!$D$54*'Asset Register'!$G$25)/((1-Inputs!$D$54)*(D8*(1-$D$48)-D11)+Inputs!$D$54*D8*Inputs!$D$52/10-D8*(Inputs!$D$52+Inputs!$D$53)),((1-Inputs!$D$54)*(D15+D16)-Inputs!$D$54*'Asset Register'!$G$25)/((1-Inputs!$D$54)*(D8*(1-$D$48-Inputs!$D$51)-D11)+Inputs!$D$54*D8*Inputs!$D$52/10-D8*(Inputs!$D$52+Inputs!$D$53)))&gt;Inputs!$D$16,"Above capacity",MAX(0,(D15+D16+Inputs!$D$50)/(D8*(1-$D$48)-D11-D8*(Inputs!$D$52+Inputs!$D$53)),(D15+D16)/(D8*(1-$D$48-Inputs!$D$51)-D11-D8*(Inputs!$D$52+Inputs!$D$53)),((1-Inputs!$D$54)*(D15+D16+Inputs!$D$50)-Inputs!$D$54*'Asset Register'!$G$25)/((1-Inputs!$D$54)*(D8*(1-$D$48)-D11)+Inputs!$D$54*D8*Inputs!$D$52/10-D8*(Inputs!$D$52+Inputs!$D$53)),((1-Inputs!$D$54)*(D15+D16)-Inputs!$D$54*'Asset Register'!$G$25)/((1-Inputs!$D$54)*(D8*(1-$D$48-Inputs!$D$51)-D11)+Inputs!$D$54*D8*Inputs!$D$52/10-D8*(Inputs!$D$52+Inputs!$D$53)))/Inputs!$D$16))</f>
        <v>0.168061433421395</v>
      </c>
    </row>
    <row r="45" customFormat="false" ht="15" hidden="false" customHeight="true" outlineLevel="0" collapsed="false">
      <c r="B45" s="37" t="s">
        <v>128</v>
      </c>
    </row>
    <row r="46" customFormat="false" ht="15" hidden="false" customHeight="true" outlineLevel="0" collapsed="false">
      <c r="B46" s="38" t="s">
        <v>129</v>
      </c>
      <c r="D46" s="50" t="n">
        <v>1</v>
      </c>
    </row>
    <row r="47" customFormat="false" ht="15" hidden="false" customHeight="true" outlineLevel="0" collapsed="false">
      <c r="B47" s="38" t="s">
        <v>130</v>
      </c>
      <c r="D47" s="50" t="n">
        <v>1</v>
      </c>
    </row>
    <row r="48" customFormat="false" ht="15" hidden="false" customHeight="true" outlineLevel="0" collapsed="false">
      <c r="B48" s="38" t="s">
        <v>131</v>
      </c>
      <c r="D48" s="51" t="n">
        <v>0.12</v>
      </c>
    </row>
    <row r="49" customFormat="false" ht="15" hidden="false" customHeight="true" outlineLevel="0" collapsed="false">
      <c r="B49" s="38" t="s">
        <v>132</v>
      </c>
      <c r="D49" s="52" t="n">
        <v>6500</v>
      </c>
    </row>
    <row r="50" customFormat="false" ht="15" hidden="false" customHeight="true" outlineLevel="0" collapsed="false">
      <c r="B50" s="38" t="s">
        <v>133</v>
      </c>
      <c r="D50" s="51" t="n">
        <v>0.4</v>
      </c>
      <c r="E50" s="51" t="n">
        <v>0.48</v>
      </c>
      <c r="F50" s="51" t="n">
        <v>0.55</v>
      </c>
      <c r="G50" s="51" t="n">
        <v>0.6</v>
      </c>
      <c r="H50" s="51" t="n">
        <v>0.65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2"/>
    <col collapsed="false" customWidth="true" hidden="false" outlineLevel="0" max="8" min="4" style="1" width="16"/>
    <col collapsed="false" customWidth="true" hidden="false" outlineLevel="0" max="10" min="10" style="1" width="46"/>
  </cols>
  <sheetData>
    <row r="2" customFormat="false" ht="15" hidden="false" customHeight="true" outlineLevel="0" collapsed="false">
      <c r="B2" s="37" t="s">
        <v>134</v>
      </c>
    </row>
    <row r="3" customFormat="false" ht="15" hidden="false" customHeight="true" outlineLevel="0" collapsed="false">
      <c r="B3" s="40" t="s">
        <v>98</v>
      </c>
    </row>
    <row r="5" customFormat="false" ht="15" hidden="false" customHeight="true" outlineLevel="0" collapsed="false">
      <c r="D5" s="37" t="s">
        <v>99</v>
      </c>
      <c r="E5" s="37" t="s">
        <v>100</v>
      </c>
      <c r="F5" s="37" t="s">
        <v>101</v>
      </c>
      <c r="G5" s="37" t="s">
        <v>102</v>
      </c>
      <c r="H5" s="37" t="s">
        <v>103</v>
      </c>
    </row>
    <row r="7" customFormat="false" ht="15" hidden="false" customHeight="true" outlineLevel="0" collapsed="false">
      <c r="B7" s="38" t="s">
        <v>104</v>
      </c>
      <c r="D7" s="42" t="n">
        <f aca="false">MAX(0,D$50-0)</f>
        <v>0.5</v>
      </c>
      <c r="E7" s="42" t="n">
        <f aca="false">MAX(0,E$50-0)</f>
        <v>0.6</v>
      </c>
      <c r="F7" s="42" t="n">
        <f aca="false">MAX(0,F$50-0)</f>
        <v>0.68</v>
      </c>
      <c r="G7" s="42" t="n">
        <f aca="false">MAX(0,G$50-0)</f>
        <v>0.72</v>
      </c>
      <c r="H7" s="42" t="n">
        <f aca="false">MAX(0,H$50-0)</f>
        <v>0.75</v>
      </c>
      <c r="J7" s="40" t="s">
        <v>105</v>
      </c>
    </row>
    <row r="8" customFormat="false" ht="15" hidden="false" customHeight="true" outlineLevel="0" collapsed="false">
      <c r="B8" s="38" t="s">
        <v>106</v>
      </c>
      <c r="D8" s="43" t="n">
        <f aca="false">$D$49*1*(1+Inputs!$D$49)^0</f>
        <v>7000</v>
      </c>
      <c r="E8" s="43" t="n">
        <f aca="false">$D$49*1*(1+Inputs!$D$49)^1</f>
        <v>7420</v>
      </c>
      <c r="F8" s="43" t="n">
        <f aca="false">$D$49*1*(1+Inputs!$D$49)^2</f>
        <v>7865.2</v>
      </c>
      <c r="G8" s="43" t="n">
        <f aca="false">$D$49*1*(1+Inputs!$D$49)^3</f>
        <v>8337.112</v>
      </c>
      <c r="H8" s="43" t="n">
        <f aca="false">$D$49*1*(1+Inputs!$D$49)^4</f>
        <v>8837.33872</v>
      </c>
    </row>
    <row r="9" customFormat="false" ht="15" hidden="false" customHeight="true" outlineLevel="0" collapsed="false">
      <c r="B9" s="38" t="s">
        <v>107</v>
      </c>
      <c r="D9" s="44" t="n">
        <f aca="false">Inputs!$D$16*D7</f>
        <v>400</v>
      </c>
      <c r="E9" s="44" t="n">
        <f aca="false">Inputs!$D$16*E7</f>
        <v>480</v>
      </c>
      <c r="F9" s="44" t="n">
        <f aca="false">Inputs!$D$16*F7</f>
        <v>544</v>
      </c>
      <c r="G9" s="44" t="n">
        <f aca="false">Inputs!$D$16*G7</f>
        <v>576</v>
      </c>
      <c r="H9" s="44" t="n">
        <f aca="false">Inputs!$D$16*H7</f>
        <v>600</v>
      </c>
    </row>
    <row r="10" customFormat="false" ht="15" hidden="false" customHeight="true" outlineLevel="0" collapsed="false">
      <c r="B10" s="38" t="s">
        <v>108</v>
      </c>
      <c r="D10" s="43" t="n">
        <f aca="false">D9*D8</f>
        <v>2800000</v>
      </c>
      <c r="E10" s="43" t="n">
        <f aca="false">E9*E8</f>
        <v>3561600</v>
      </c>
      <c r="F10" s="43" t="n">
        <f aca="false">F9*F8</f>
        <v>4278668.8</v>
      </c>
      <c r="G10" s="43" t="n">
        <f aca="false">G9*G8</f>
        <v>4802176.512</v>
      </c>
      <c r="H10" s="43" t="n">
        <f aca="false">H9*H8</f>
        <v>5302403.232</v>
      </c>
    </row>
    <row r="11" customFormat="false" ht="15" hidden="false" customHeight="true" outlineLevel="0" collapsed="false">
      <c r="B11" s="38" t="s">
        <v>109</v>
      </c>
      <c r="D11" s="45" t="n">
        <f aca="false">((Inputs!$E$41*$D$46/Capital!$D$6)*(1+Inputs!$D$47)^0+Inputs!$E$42*$D$46*(1+Inputs!$D$48)^0)*1</f>
        <v>1176.43410331567</v>
      </c>
      <c r="E11" s="45" t="n">
        <f aca="false">((Inputs!$E$41*$D$46/Capital!$D$6)*(1+Inputs!$D$47)^1+Inputs!$E$42*$D$46*(1+Inputs!$D$48)^1)*1</f>
        <v>1224.07014951462</v>
      </c>
      <c r="F11" s="45" t="n">
        <f aca="false">((Inputs!$E$41*$D$46/Capital!$D$6)*(1+Inputs!$D$47)^2+Inputs!$E$42*$D$46*(1+Inputs!$D$48)^2)*1</f>
        <v>1273.87585848549</v>
      </c>
      <c r="G11" s="45" t="n">
        <f aca="false">((Inputs!$E$41*$D$46/Capital!$D$6)*(1+Inputs!$D$47)^3+Inputs!$E$42*$D$46*(1+Inputs!$D$48)^3)*1</f>
        <v>1325.96075499462</v>
      </c>
      <c r="H11" s="45" t="n">
        <f aca="false">((Inputs!$E$41*$D$46/Capital!$D$6)*(1+Inputs!$D$47)^4+Inputs!$E$42*$D$46*(1+Inputs!$D$48)^4)*1</f>
        <v>1380.4403156443</v>
      </c>
    </row>
    <row r="12" customFormat="false" ht="15" hidden="false" customHeight="true" outlineLevel="0" collapsed="false">
      <c r="B12" s="38" t="s">
        <v>110</v>
      </c>
      <c r="D12" s="43" t="n">
        <f aca="false">D11*D9</f>
        <v>470573.64132627</v>
      </c>
      <c r="E12" s="43" t="n">
        <f aca="false">E11*E9</f>
        <v>587553.671767015</v>
      </c>
      <c r="F12" s="43" t="n">
        <f aca="false">F11*F9</f>
        <v>692988.467016108</v>
      </c>
      <c r="G12" s="43" t="n">
        <f aca="false">G11*G9</f>
        <v>763753.394876902</v>
      </c>
      <c r="H12" s="43" t="n">
        <f aca="false">H11*H9</f>
        <v>828264.18938658</v>
      </c>
    </row>
    <row r="13" customFormat="false" ht="15" hidden="false" customHeight="true" outlineLevel="0" collapsed="false">
      <c r="B13" s="38" t="s">
        <v>111</v>
      </c>
      <c r="D13" s="43" t="n">
        <f aca="false">D10*$D$48</f>
        <v>308000</v>
      </c>
      <c r="E13" s="43" t="n">
        <f aca="false">E10*$D$48</f>
        <v>391776</v>
      </c>
      <c r="F13" s="43" t="n">
        <f aca="false">F10*$D$48</f>
        <v>470653.568</v>
      </c>
      <c r="G13" s="43" t="n">
        <f aca="false">G10*$D$48</f>
        <v>528239.41632</v>
      </c>
      <c r="H13" s="43" t="n">
        <f aca="false">H10*$D$48</f>
        <v>583264.35552</v>
      </c>
    </row>
    <row r="14" customFormat="false" ht="15" hidden="false" customHeight="true" outlineLevel="0" collapsed="false">
      <c r="B14" s="38" t="s">
        <v>112</v>
      </c>
      <c r="D14" s="43" t="n">
        <f aca="false">MAX(Inputs!$D$50*1*(1+Inputs!$D$48)^0,Inputs!$D$51*D10)</f>
        <v>224000</v>
      </c>
      <c r="E14" s="43" t="n">
        <f aca="false">MAX(Inputs!$D$50*1*(1+Inputs!$D$48)^1,Inputs!$D$51*E10)</f>
        <v>284928</v>
      </c>
      <c r="F14" s="43" t="n">
        <f aca="false">MAX(Inputs!$D$50*1*(1+Inputs!$D$48)^2,Inputs!$D$51*F10)</f>
        <v>342293.504</v>
      </c>
      <c r="G14" s="43" t="n">
        <f aca="false">MAX(Inputs!$D$50*1*(1+Inputs!$D$48)^3,Inputs!$D$51*G10)</f>
        <v>384174.12096</v>
      </c>
      <c r="H14" s="43" t="n">
        <f aca="false">MAX(Inputs!$D$50*1*(1+Inputs!$D$48)^4,Inputs!$D$51*H10)</f>
        <v>424192.25856</v>
      </c>
    </row>
    <row r="15" customFormat="false" ht="15" hidden="false" customHeight="true" outlineLevel="0" collapsed="false">
      <c r="B15" s="38" t="s">
        <v>113</v>
      </c>
      <c r="D15" s="43" t="n">
        <f aca="false">((Inputs!$E$28*$D$47/Capital!$D$6)*(1+Inputs!$D$47)^0+Inputs!$E$29*$D$47*(1+Inputs!$D$48)^0)*1</f>
        <v>403269.704466615</v>
      </c>
      <c r="E15" s="43" t="n">
        <f aca="false">((Inputs!$E$28*$D$47/Capital!$D$6)*(1+Inputs!$D$47)^1+Inputs!$E$29*$D$47*(1+Inputs!$D$48)^1)*1</f>
        <v>426520.886734612</v>
      </c>
      <c r="F15" s="43" t="n">
        <f aca="false">((Inputs!$E$28*$D$47/Capital!$D$6)*(1+Inputs!$D$47)^2+Inputs!$E$29*$D$47*(1+Inputs!$D$48)^2)*1</f>
        <v>451138.789938688</v>
      </c>
      <c r="G15" s="43" t="n">
        <f aca="false">((Inputs!$E$28*$D$47/Capital!$D$6)*(1+Inputs!$D$47)^3+Inputs!$E$29*$D$47*(1+Inputs!$D$48)^3)*1</f>
        <v>477204.56683501</v>
      </c>
      <c r="H15" s="43" t="n">
        <f aca="false">((Inputs!$E$28*$D$47/Capital!$D$6)*(1+Inputs!$D$47)^4+Inputs!$E$29*$D$47*(1+Inputs!$D$48)^4)*1</f>
        <v>504804.21383011</v>
      </c>
    </row>
    <row r="16" customFormat="false" ht="15" hidden="false" customHeight="true" outlineLevel="0" collapsed="false">
      <c r="B16" s="38" t="s">
        <v>114</v>
      </c>
      <c r="D16" s="43" t="n">
        <f aca="false">Inputs!$E$30*$D$47*(1+Inputs!$D$48)^0*1</f>
        <v>63000</v>
      </c>
      <c r="E16" s="43" t="n">
        <f aca="false">Inputs!$E$30*$D$47*(1+Inputs!$D$48)^1*1</f>
        <v>64890</v>
      </c>
      <c r="F16" s="43" t="n">
        <f aca="false">Inputs!$E$30*$D$47*(1+Inputs!$D$48)^2*1</f>
        <v>66836.7</v>
      </c>
      <c r="G16" s="43" t="n">
        <f aca="false">Inputs!$E$30*$D$47*(1+Inputs!$D$48)^3*1</f>
        <v>68841.801</v>
      </c>
      <c r="H16" s="43" t="n">
        <f aca="false">Inputs!$E$30*$D$47*(1+Inputs!$D$48)^4*1</f>
        <v>70907.05503</v>
      </c>
    </row>
    <row r="17" customFormat="false" ht="15" hidden="false" customHeight="true" outlineLevel="0" collapsed="false">
      <c r="B17" s="37" t="s">
        <v>115</v>
      </c>
      <c r="D17" s="43" t="n">
        <f aca="false">D10-D12-D13-D14-D15-D16</f>
        <v>1331156.65420712</v>
      </c>
      <c r="E17" s="43" t="n">
        <f aca="false">E10-E12-E13-E14-E15-E16</f>
        <v>1805931.44149837</v>
      </c>
      <c r="F17" s="43" t="n">
        <f aca="false">F10-F12-F13-F14-F15-F16</f>
        <v>2254757.7710452</v>
      </c>
      <c r="G17" s="43" t="n">
        <f aca="false">G10-G12-G13-G14-G15-G16</f>
        <v>2579963.21200809</v>
      </c>
      <c r="H17" s="43" t="n">
        <f aca="false">H10-H12-H13-H14-H15-H16</f>
        <v>2890971.15967331</v>
      </c>
    </row>
    <row r="18" customFormat="false" ht="15" hidden="false" customHeight="true" outlineLevel="0" collapsed="false">
      <c r="B18" s="38" t="s">
        <v>116</v>
      </c>
      <c r="D18" s="46" t="n">
        <f aca="false">IF(D10=0,0,D17/D10)</f>
        <v>0.475413090788255</v>
      </c>
      <c r="E18" s="46" t="n">
        <f aca="false">IF(E10=0,0,E17/E10)</f>
        <v>0.507056222343434</v>
      </c>
      <c r="F18" s="46" t="n">
        <f aca="false">IF(F10=0,0,F17/F10)</f>
        <v>0.526976467784841</v>
      </c>
      <c r="G18" s="46" t="n">
        <f aca="false">IF(G10=0,0,G17/G10)</f>
        <v>0.537248725772804</v>
      </c>
      <c r="H18" s="46" t="n">
        <f aca="false">IF(H10=0,0,H17/H10)</f>
        <v>0.545219032424072</v>
      </c>
    </row>
    <row r="19" customFormat="false" ht="15" hidden="false" customHeight="true" outlineLevel="0" collapsed="false">
      <c r="B19" s="38" t="s">
        <v>117</v>
      </c>
      <c r="D19" s="43" t="n">
        <f aca="false">D10*Inputs!$D$52</f>
        <v>84000</v>
      </c>
      <c r="E19" s="43" t="n">
        <f aca="false">E10*Inputs!$D$52</f>
        <v>106848</v>
      </c>
      <c r="F19" s="43" t="n">
        <f aca="false">F10*Inputs!$D$52</f>
        <v>128360.064</v>
      </c>
      <c r="G19" s="43" t="n">
        <f aca="false">G10*Inputs!$D$52</f>
        <v>144065.29536</v>
      </c>
      <c r="H19" s="43" t="n">
        <f aca="false">H10*Inputs!$D$52</f>
        <v>159072.09696</v>
      </c>
    </row>
    <row r="20" customFormat="false" ht="15" hidden="false" customHeight="true" outlineLevel="0" collapsed="false">
      <c r="B20" s="38" t="s">
        <v>118</v>
      </c>
      <c r="D20" s="43" t="n">
        <f aca="false">'Asset Register'!$G$25+0/5+D19/10</f>
        <v>303897.972724056</v>
      </c>
      <c r="E20" s="43" t="n">
        <f aca="false">'Asset Register'!$G$26+SUM($D19:D19)/5+E19/10</f>
        <v>322982.772724056</v>
      </c>
      <c r="F20" s="43" t="n">
        <f aca="false">'Asset Register'!$G$27+SUM($D19:E19)/5+F19/10</f>
        <v>346503.579124056</v>
      </c>
      <c r="G20" s="43" t="n">
        <f aca="false">'Asset Register'!$G$28+SUM($D19:F19)/5+G19/10</f>
        <v>373746.115060056</v>
      </c>
      <c r="H20" s="43" t="n">
        <f aca="false">'Asset Register'!$G$29+SUM($D19:G19)/5+H19/10</f>
        <v>404059.854292056</v>
      </c>
    </row>
    <row r="21" customFormat="false" ht="15" hidden="false" customHeight="true" outlineLevel="0" collapsed="false">
      <c r="B21" s="38" t="s">
        <v>119</v>
      </c>
      <c r="D21" s="43" t="n">
        <f aca="false">D17-D20</f>
        <v>1027258.68148306</v>
      </c>
      <c r="E21" s="43" t="n">
        <f aca="false">E17-E20</f>
        <v>1482948.66877432</v>
      </c>
      <c r="F21" s="43" t="n">
        <f aca="false">F17-F20</f>
        <v>1908254.19192115</v>
      </c>
      <c r="G21" s="43" t="n">
        <f aca="false">G17-G20</f>
        <v>2206217.09694803</v>
      </c>
      <c r="H21" s="43" t="n">
        <f aca="false">H17-H20</f>
        <v>2486911.30538126</v>
      </c>
    </row>
    <row r="22" customFormat="false" ht="15" hidden="false" customHeight="true" outlineLevel="0" collapsed="false">
      <c r="B22" s="38" t="s">
        <v>120</v>
      </c>
      <c r="D22" s="43" t="n">
        <f aca="false">MAX(0,D21)*Inputs!$D$54</f>
        <v>308177.604444918</v>
      </c>
      <c r="E22" s="43" t="n">
        <f aca="false">MAX(0,E21)*Inputs!$D$54</f>
        <v>444884.600632295</v>
      </c>
      <c r="F22" s="43" t="n">
        <f aca="false">MAX(0,F21)*Inputs!$D$54</f>
        <v>572476.257576345</v>
      </c>
      <c r="G22" s="43" t="n">
        <f aca="false">MAX(0,G21)*Inputs!$D$54</f>
        <v>661865.12908441</v>
      </c>
      <c r="H22" s="43" t="n">
        <f aca="false">MAX(0,H21)*Inputs!$D$54</f>
        <v>746073.391614377</v>
      </c>
    </row>
    <row r="23" customFormat="false" ht="15" hidden="false" customHeight="true" outlineLevel="0" collapsed="false">
      <c r="B23" s="38" t="s">
        <v>121</v>
      </c>
      <c r="D23" s="43" t="n">
        <f aca="false">D21-D22</f>
        <v>719081.077038142</v>
      </c>
      <c r="E23" s="43" t="n">
        <f aca="false">E21-E22</f>
        <v>1038064.06814202</v>
      </c>
      <c r="F23" s="43" t="n">
        <f aca="false">F21-F22</f>
        <v>1335777.9343448</v>
      </c>
      <c r="G23" s="43" t="n">
        <f aca="false">G21-G22</f>
        <v>1544351.96786362</v>
      </c>
      <c r="H23" s="43" t="n">
        <f aca="false">H21-H22</f>
        <v>1740837.91376688</v>
      </c>
    </row>
    <row r="24" customFormat="false" ht="15" hidden="false" customHeight="true" outlineLevel="0" collapsed="false">
      <c r="B24" s="38" t="s">
        <v>122</v>
      </c>
      <c r="D24" s="43" t="n">
        <f aca="false">(D10-0)*Inputs!$D$53</f>
        <v>140000</v>
      </c>
      <c r="E24" s="43" t="n">
        <f aca="false">(E10-D10)*Inputs!$D$53</f>
        <v>38080</v>
      </c>
      <c r="F24" s="43" t="n">
        <f aca="false">(F10-E10)*Inputs!$D$53</f>
        <v>35853.44</v>
      </c>
      <c r="G24" s="43" t="n">
        <f aca="false">(G10-F10)*Inputs!$D$53</f>
        <v>26175.3856</v>
      </c>
      <c r="H24" s="43" t="n">
        <f aca="false">(H10-G10)*Inputs!$D$53</f>
        <v>25011.336</v>
      </c>
    </row>
    <row r="25" customFormat="false" ht="15" hidden="false" customHeight="true" outlineLevel="0" collapsed="false">
      <c r="B25" s="37" t="s">
        <v>123</v>
      </c>
      <c r="D25" s="43" t="n">
        <f aca="false">D17-D22-D19-D24</f>
        <v>798979.049762198</v>
      </c>
      <c r="E25" s="43" t="n">
        <f aca="false">E17-E22-E19-E24</f>
        <v>1216118.84086608</v>
      </c>
      <c r="F25" s="43" t="n">
        <f aca="false">F17-F22-F19-F24</f>
        <v>1518068.00946886</v>
      </c>
      <c r="G25" s="43" t="n">
        <f aca="false">G17-G22-G19-G24</f>
        <v>1747857.40196368</v>
      </c>
      <c r="H25" s="43" t="n">
        <f aca="false">H17-H22-H19-H24</f>
        <v>1960814.33509893</v>
      </c>
    </row>
    <row r="26" customFormat="false" ht="15" hidden="false" customHeight="true" outlineLevel="0" collapsed="false">
      <c r="B26" s="37" t="s">
        <v>124</v>
      </c>
      <c r="D26" s="43" t="n">
        <f aca="false">Capital!$D$39+D25</f>
        <v>1598979.0497622</v>
      </c>
      <c r="E26" s="43" t="n">
        <f aca="false">D26+E25</f>
        <v>2815097.89062828</v>
      </c>
      <c r="F26" s="43" t="n">
        <f aca="false">E26+F25</f>
        <v>4333165.90009713</v>
      </c>
      <c r="G26" s="43" t="n">
        <f aca="false">F26+G25</f>
        <v>6081023.30206081</v>
      </c>
      <c r="H26" s="43" t="n">
        <f aca="false">G26+H25</f>
        <v>8041837.63715975</v>
      </c>
    </row>
    <row r="28" customFormat="false" ht="15" hidden="false" customHeight="true" outlineLevel="0" collapsed="false">
      <c r="B28" s="37" t="s">
        <v>90</v>
      </c>
      <c r="D28" s="43" t="n">
        <f aca="false">SUM(D25:H25)</f>
        <v>7241837.63715975</v>
      </c>
    </row>
    <row r="29" customFormat="false" ht="15" hidden="false" customHeight="true" outlineLevel="0" collapsed="false">
      <c r="B29" s="37" t="s">
        <v>91</v>
      </c>
      <c r="D29" s="43" t="n">
        <f aca="false">SUM(D14:H14)</f>
        <v>1659587.88352</v>
      </c>
    </row>
    <row r="30" customFormat="false" ht="30" hidden="false" customHeight="true" outlineLevel="0" collapsed="false">
      <c r="B30" s="47" t="s">
        <v>125</v>
      </c>
      <c r="D30" s="48" t="n">
        <f aca="false">IF(OR(D8*(1-$D$48)-D11&lt;=0,D8*(1-$D$48-Inputs!$D$51)-D11&lt;=0),"Infeasible",IF(MAX((D15+D16+Inputs!$D$50)/(D8*(1-$D$48)-D11),(D15+D16)/(D8*(1-$D$48-Inputs!$D$51)-D11))&gt;Inputs!$D$16,"Above capacity",MAX((D15+D16+Inputs!$D$50)/(D8*(1-$D$48)-D11),(D15+D16)/(D8*(1-$D$48-Inputs!$D$51)-D11))/Inputs!$D$16))</f>
        <v>0.140066864676225</v>
      </c>
    </row>
    <row r="31" customFormat="false" ht="30" hidden="false" customHeight="true" outlineLevel="0" collapsed="false">
      <c r="B31" s="47" t="s">
        <v>126</v>
      </c>
      <c r="D31" s="49" t="n">
        <f aca="false">IF(OR(D9&lt;=0,1-$D$48&lt;=0,1-$D$48-Inputs!$D$51&lt;=0),"Infeasible",MAX((D15+D16+D11*D9+Inputs!$D$50)/(D9*(1-$D$48)),(D15+D16+D11*D9)/(D9*(1-$D$48-Inputs!$D$51))))</f>
        <v>2912.48130840698</v>
      </c>
    </row>
    <row r="32" customFormat="false" ht="36" hidden="false" customHeight="true" outlineLevel="0" collapsed="false">
      <c r="B32" s="47" t="s">
        <v>127</v>
      </c>
      <c r="D32" s="48" t="n">
        <f aca="false">IF(OR(D8*(1-$D$48)-D11-D8*(Inputs!$D$52+Inputs!$D$53)&lt;=0,D8*(1-$D$48-Inputs!$D$51)-D11-D8*(Inputs!$D$52+Inputs!$D$53)&lt;=0,(1-Inputs!$D$54)*(D8*(1-$D$48)-D11)+Inputs!$D$54*D8*Inputs!$D$52/10-D8*(Inputs!$D$52+Inputs!$D$53)&lt;=0,(1-Inputs!$D$54)*(D8*(1-$D$48-Inputs!$D$51)-D11)+Inputs!$D$54*D8*Inputs!$D$52/10-D8*(Inputs!$D$52+Inputs!$D$53)&lt;=0),"Infeasible",IF(MAX((D15+D16+Inputs!$D$50)/(D8*(1-$D$48)-D11-D8*(Inputs!$D$52+Inputs!$D$53)),(D15+D16)/(D8*(1-$D$48-Inputs!$D$51)-D11-D8*(Inputs!$D$52+Inputs!$D$53)),((1-Inputs!$D$54)*(D15+D16+Inputs!$D$50)-Inputs!$D$54*'Asset Register'!$G$25)/((1-Inputs!$D$54)*(D8*(1-$D$48)-D11)+Inputs!$D$54*D8*Inputs!$D$52/10-D8*(Inputs!$D$52+Inputs!$D$53)),((1-Inputs!$D$54)*(D15+D16)-Inputs!$D$54*'Asset Register'!$G$25)/((1-Inputs!$D$54)*(D8*(1-$D$48-Inputs!$D$51)-D11)+Inputs!$D$54*D8*Inputs!$D$52/10-D8*(Inputs!$D$52+Inputs!$D$53)))&gt;Inputs!$D$16,"Above capacity",MAX(0,(D15+D16+Inputs!$D$50)/(D8*(1-$D$48)-D11-D8*(Inputs!$D$52+Inputs!$D$53)),(D15+D16)/(D8*(1-$D$48-Inputs!$D$51)-D11-D8*(Inputs!$D$52+Inputs!$D$53)),((1-Inputs!$D$54)*(D15+D16+Inputs!$D$50)-Inputs!$D$54*'Asset Register'!$G$25)/((1-Inputs!$D$54)*(D8*(1-$D$48)-D11)+Inputs!$D$54*D8*Inputs!$D$52/10-D8*(Inputs!$D$52+Inputs!$D$53)),((1-Inputs!$D$54)*(D15+D16)-Inputs!$D$54*'Asset Register'!$G$25)/((1-Inputs!$D$54)*(D8*(1-$D$48-Inputs!$D$51)-D11)+Inputs!$D$54*D8*Inputs!$D$52/10-D8*(Inputs!$D$52+Inputs!$D$53)))/Inputs!$D$16))</f>
        <v>0.157522365724193</v>
      </c>
    </row>
    <row r="45" customFormat="false" ht="15" hidden="false" customHeight="true" outlineLevel="0" collapsed="false">
      <c r="B45" s="37" t="s">
        <v>128</v>
      </c>
    </row>
    <row r="46" customFormat="false" ht="15" hidden="false" customHeight="true" outlineLevel="0" collapsed="false">
      <c r="B46" s="38" t="s">
        <v>129</v>
      </c>
      <c r="D46" s="50" t="n">
        <v>1.02</v>
      </c>
    </row>
    <row r="47" customFormat="false" ht="15" hidden="false" customHeight="true" outlineLevel="0" collapsed="false">
      <c r="B47" s="38" t="s">
        <v>130</v>
      </c>
      <c r="D47" s="50" t="n">
        <v>1.05</v>
      </c>
    </row>
    <row r="48" customFormat="false" ht="15" hidden="false" customHeight="true" outlineLevel="0" collapsed="false">
      <c r="B48" s="38" t="s">
        <v>131</v>
      </c>
      <c r="D48" s="51" t="n">
        <v>0.11</v>
      </c>
    </row>
    <row r="49" customFormat="false" ht="15" hidden="false" customHeight="true" outlineLevel="0" collapsed="false">
      <c r="B49" s="38" t="s">
        <v>132</v>
      </c>
      <c r="D49" s="52" t="n">
        <v>7000</v>
      </c>
    </row>
    <row r="50" customFormat="false" ht="15" hidden="false" customHeight="true" outlineLevel="0" collapsed="false">
      <c r="B50" s="38" t="s">
        <v>133</v>
      </c>
      <c r="D50" s="51" t="n">
        <v>0.5</v>
      </c>
      <c r="E50" s="51" t="n">
        <v>0.6</v>
      </c>
      <c r="F50" s="51" t="n">
        <v>0.68</v>
      </c>
      <c r="G50" s="51" t="n">
        <v>0.72</v>
      </c>
      <c r="H50" s="51" t="n">
        <v>0.75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2"/>
    <col collapsed="false" customWidth="true" hidden="false" outlineLevel="0" max="8" min="4" style="1" width="16"/>
    <col collapsed="false" customWidth="true" hidden="false" outlineLevel="0" max="10" min="10" style="1" width="46"/>
  </cols>
  <sheetData>
    <row r="2" customFormat="false" ht="15" hidden="false" customHeight="true" outlineLevel="0" collapsed="false">
      <c r="B2" s="37" t="s">
        <v>135</v>
      </c>
    </row>
    <row r="3" customFormat="false" ht="15" hidden="false" customHeight="true" outlineLevel="0" collapsed="false">
      <c r="B3" s="40" t="s">
        <v>98</v>
      </c>
    </row>
    <row r="5" customFormat="false" ht="15" hidden="false" customHeight="true" outlineLevel="0" collapsed="false">
      <c r="D5" s="37" t="s">
        <v>99</v>
      </c>
      <c r="E5" s="37" t="s">
        <v>100</v>
      </c>
      <c r="F5" s="37" t="s">
        <v>101</v>
      </c>
      <c r="G5" s="37" t="s">
        <v>102</v>
      </c>
      <c r="H5" s="37" t="s">
        <v>103</v>
      </c>
    </row>
    <row r="7" customFormat="false" ht="15" hidden="false" customHeight="true" outlineLevel="0" collapsed="false">
      <c r="B7" s="38" t="s">
        <v>104</v>
      </c>
      <c r="D7" s="42" t="n">
        <f aca="false">MAX(0,D$50-0)</f>
        <v>0.6</v>
      </c>
      <c r="E7" s="42" t="n">
        <f aca="false">MAX(0,E$50-0)</f>
        <v>0.7</v>
      </c>
      <c r="F7" s="42" t="n">
        <f aca="false">MAX(0,F$50-0)</f>
        <v>0.78</v>
      </c>
      <c r="G7" s="42" t="n">
        <f aca="false">MAX(0,G$50-0)</f>
        <v>0.82</v>
      </c>
      <c r="H7" s="42" t="n">
        <f aca="false">MAX(0,H$50-0)</f>
        <v>0.85</v>
      </c>
      <c r="J7" s="40" t="s">
        <v>105</v>
      </c>
    </row>
    <row r="8" customFormat="false" ht="15" hidden="false" customHeight="true" outlineLevel="0" collapsed="false">
      <c r="B8" s="38" t="s">
        <v>106</v>
      </c>
      <c r="D8" s="43" t="n">
        <f aca="false">$D$49*1*(1+Inputs!$D$49)^0</f>
        <v>7500</v>
      </c>
      <c r="E8" s="43" t="n">
        <f aca="false">$D$49*1*(1+Inputs!$D$49)^1</f>
        <v>7950</v>
      </c>
      <c r="F8" s="43" t="n">
        <f aca="false">$D$49*1*(1+Inputs!$D$49)^2</f>
        <v>8427</v>
      </c>
      <c r="G8" s="43" t="n">
        <f aca="false">$D$49*1*(1+Inputs!$D$49)^3</f>
        <v>8932.62</v>
      </c>
      <c r="H8" s="43" t="n">
        <f aca="false">$D$49*1*(1+Inputs!$D$49)^4</f>
        <v>9468.5772</v>
      </c>
    </row>
    <row r="9" customFormat="false" ht="15" hidden="false" customHeight="true" outlineLevel="0" collapsed="false">
      <c r="B9" s="38" t="s">
        <v>107</v>
      </c>
      <c r="D9" s="44" t="n">
        <f aca="false">Inputs!$D$16*D7</f>
        <v>480</v>
      </c>
      <c r="E9" s="44" t="n">
        <f aca="false">Inputs!$D$16*E7</f>
        <v>560</v>
      </c>
      <c r="F9" s="44" t="n">
        <f aca="false">Inputs!$D$16*F7</f>
        <v>624</v>
      </c>
      <c r="G9" s="44" t="n">
        <f aca="false">Inputs!$D$16*G7</f>
        <v>656</v>
      </c>
      <c r="H9" s="44" t="n">
        <f aca="false">Inputs!$D$16*H7</f>
        <v>680</v>
      </c>
    </row>
    <row r="10" customFormat="false" ht="15" hidden="false" customHeight="true" outlineLevel="0" collapsed="false">
      <c r="B10" s="38" t="s">
        <v>108</v>
      </c>
      <c r="D10" s="43" t="n">
        <f aca="false">D9*D8</f>
        <v>3600000</v>
      </c>
      <c r="E10" s="43" t="n">
        <f aca="false">E9*E8</f>
        <v>4452000</v>
      </c>
      <c r="F10" s="43" t="n">
        <f aca="false">F9*F8</f>
        <v>5258448</v>
      </c>
      <c r="G10" s="43" t="n">
        <f aca="false">G9*G8</f>
        <v>5859798.72</v>
      </c>
      <c r="H10" s="43" t="n">
        <f aca="false">H9*H8</f>
        <v>6438632.496</v>
      </c>
    </row>
    <row r="11" customFormat="false" ht="15" hidden="false" customHeight="true" outlineLevel="0" collapsed="false">
      <c r="B11" s="38" t="s">
        <v>109</v>
      </c>
      <c r="D11" s="45" t="n">
        <f aca="false">((Inputs!$E$41*$D$46/Capital!$D$6)*(1+Inputs!$D$47)^0+Inputs!$E$42*$D$46*(1+Inputs!$D$48)^0)*1</f>
        <v>1211.03510635437</v>
      </c>
      <c r="E11" s="45" t="n">
        <f aca="false">((Inputs!$E$41*$D$46/Capital!$D$6)*(1+Inputs!$D$47)^1+Inputs!$E$42*$D$46*(1+Inputs!$D$48)^1)*1</f>
        <v>1260.07221273563</v>
      </c>
      <c r="F11" s="45" t="n">
        <f aca="false">((Inputs!$E$41*$D$46/Capital!$D$6)*(1+Inputs!$D$47)^2+Inputs!$E$42*$D$46*(1+Inputs!$D$48)^2)*1</f>
        <v>1311.34279549977</v>
      </c>
      <c r="G11" s="45" t="n">
        <f aca="false">((Inputs!$E$41*$D$46/Capital!$D$6)*(1+Inputs!$D$47)^3+Inputs!$E$42*$D$46*(1+Inputs!$D$48)^3)*1</f>
        <v>1364.95960072976</v>
      </c>
      <c r="H11" s="45" t="n">
        <f aca="false">((Inputs!$E$41*$D$46/Capital!$D$6)*(1+Inputs!$D$47)^4+Inputs!$E$42*$D$46*(1+Inputs!$D$48)^4)*1</f>
        <v>1421.04150139854</v>
      </c>
    </row>
    <row r="12" customFormat="false" ht="15" hidden="false" customHeight="true" outlineLevel="0" collapsed="false">
      <c r="B12" s="38" t="s">
        <v>110</v>
      </c>
      <c r="D12" s="43" t="n">
        <f aca="false">D11*D9</f>
        <v>581296.851050098</v>
      </c>
      <c r="E12" s="43" t="n">
        <f aca="false">E11*E9</f>
        <v>705640.439131955</v>
      </c>
      <c r="F12" s="43" t="n">
        <f aca="false">F11*F9</f>
        <v>818277.904391857</v>
      </c>
      <c r="G12" s="43" t="n">
        <f aca="false">G11*G9</f>
        <v>895413.498078721</v>
      </c>
      <c r="H12" s="43" t="n">
        <f aca="false">H11*H9</f>
        <v>966308.22095101</v>
      </c>
    </row>
    <row r="13" customFormat="false" ht="15" hidden="false" customHeight="true" outlineLevel="0" collapsed="false">
      <c r="B13" s="38" t="s">
        <v>111</v>
      </c>
      <c r="D13" s="43" t="n">
        <f aca="false">D10*$D$48</f>
        <v>360000</v>
      </c>
      <c r="E13" s="43" t="n">
        <f aca="false">E10*$D$48</f>
        <v>445200</v>
      </c>
      <c r="F13" s="43" t="n">
        <f aca="false">F10*$D$48</f>
        <v>525844.8</v>
      </c>
      <c r="G13" s="43" t="n">
        <f aca="false">G10*$D$48</f>
        <v>585979.872</v>
      </c>
      <c r="H13" s="43" t="n">
        <f aca="false">H10*$D$48</f>
        <v>643863.2496</v>
      </c>
    </row>
    <row r="14" customFormat="false" ht="15" hidden="false" customHeight="true" outlineLevel="0" collapsed="false">
      <c r="B14" s="38" t="s">
        <v>112</v>
      </c>
      <c r="D14" s="43" t="n">
        <f aca="false">MAX(Inputs!$D$50*1*(1+Inputs!$D$48)^0,Inputs!$D$51*D10)</f>
        <v>288000</v>
      </c>
      <c r="E14" s="43" t="n">
        <f aca="false">MAX(Inputs!$D$50*1*(1+Inputs!$D$48)^1,Inputs!$D$51*E10)</f>
        <v>356160</v>
      </c>
      <c r="F14" s="43" t="n">
        <f aca="false">MAX(Inputs!$D$50*1*(1+Inputs!$D$48)^2,Inputs!$D$51*F10)</f>
        <v>420675.84</v>
      </c>
      <c r="G14" s="43" t="n">
        <f aca="false">MAX(Inputs!$D$50*1*(1+Inputs!$D$48)^3,Inputs!$D$51*G10)</f>
        <v>468783.8976</v>
      </c>
      <c r="H14" s="43" t="n">
        <f aca="false">MAX(Inputs!$D$50*1*(1+Inputs!$D$48)^4,Inputs!$D$51*H10)</f>
        <v>515090.59968</v>
      </c>
    </row>
    <row r="15" customFormat="false" ht="15" hidden="false" customHeight="true" outlineLevel="0" collapsed="false">
      <c r="B15" s="38" t="s">
        <v>113</v>
      </c>
      <c r="D15" s="43" t="n">
        <f aca="false">((Inputs!$E$28*$D$47/Capital!$D$6)*(1+Inputs!$D$47)^0+Inputs!$E$29*$D$47*(1+Inputs!$D$48)^0)*1</f>
        <v>422473.02372693</v>
      </c>
      <c r="E15" s="43" t="n">
        <f aca="false">((Inputs!$E$28*$D$47/Capital!$D$6)*(1+Inputs!$D$47)^1+Inputs!$E$29*$D$47*(1+Inputs!$D$48)^1)*1</f>
        <v>446831.405150545</v>
      </c>
      <c r="F15" s="43" t="n">
        <f aca="false">((Inputs!$E$28*$D$47/Capital!$D$6)*(1+Inputs!$D$47)^2+Inputs!$E$29*$D$47*(1+Inputs!$D$48)^2)*1</f>
        <v>472621.589459578</v>
      </c>
      <c r="G15" s="43" t="n">
        <f aca="false">((Inputs!$E$28*$D$47/Capital!$D$6)*(1+Inputs!$D$47)^3+Inputs!$E$29*$D$47*(1+Inputs!$D$48)^3)*1</f>
        <v>499928.593827153</v>
      </c>
      <c r="H15" s="43" t="n">
        <f aca="false">((Inputs!$E$28*$D$47/Capital!$D$6)*(1+Inputs!$D$47)^4+Inputs!$E$29*$D$47*(1+Inputs!$D$48)^4)*1</f>
        <v>528842.509726782</v>
      </c>
    </row>
    <row r="16" customFormat="false" ht="15" hidden="false" customHeight="true" outlineLevel="0" collapsed="false">
      <c r="B16" s="38" t="s">
        <v>114</v>
      </c>
      <c r="D16" s="43" t="n">
        <f aca="false">Inputs!$E$30*$D$47*(1+Inputs!$D$48)^0*1</f>
        <v>66000</v>
      </c>
      <c r="E16" s="43" t="n">
        <f aca="false">Inputs!$E$30*$D$47*(1+Inputs!$D$48)^1*1</f>
        <v>67980</v>
      </c>
      <c r="F16" s="43" t="n">
        <f aca="false">Inputs!$E$30*$D$47*(1+Inputs!$D$48)^2*1</f>
        <v>70019.4</v>
      </c>
      <c r="G16" s="43" t="n">
        <f aca="false">Inputs!$E$30*$D$47*(1+Inputs!$D$48)^3*1</f>
        <v>72119.982</v>
      </c>
      <c r="H16" s="43" t="n">
        <f aca="false">Inputs!$E$30*$D$47*(1+Inputs!$D$48)^4*1</f>
        <v>74283.58146</v>
      </c>
    </row>
    <row r="17" customFormat="false" ht="15" hidden="false" customHeight="true" outlineLevel="0" collapsed="false">
      <c r="B17" s="37" t="s">
        <v>115</v>
      </c>
      <c r="D17" s="43" t="n">
        <f aca="false">D10-D12-D13-D14-D15-D16</f>
        <v>1882230.12522297</v>
      </c>
      <c r="E17" s="43" t="n">
        <f aca="false">E10-E12-E13-E14-E15-E16</f>
        <v>2430188.1557175</v>
      </c>
      <c r="F17" s="43" t="n">
        <f aca="false">F10-F12-F13-F14-F15-F16</f>
        <v>2951008.46614856</v>
      </c>
      <c r="G17" s="43" t="n">
        <f aca="false">G10-G12-G13-G14-G15-G16</f>
        <v>3337572.87649413</v>
      </c>
      <c r="H17" s="43" t="n">
        <f aca="false">H10-H12-H13-H14-H15-H16</f>
        <v>3710244.33458221</v>
      </c>
    </row>
    <row r="18" customFormat="false" ht="15" hidden="false" customHeight="true" outlineLevel="0" collapsed="false">
      <c r="B18" s="38" t="s">
        <v>116</v>
      </c>
      <c r="D18" s="46" t="n">
        <f aca="false">IF(D10=0,0,D17/D10)</f>
        <v>0.522841701450826</v>
      </c>
      <c r="E18" s="46" t="n">
        <f aca="false">IF(E10=0,0,E17/E10)</f>
        <v>0.545864365614892</v>
      </c>
      <c r="F18" s="46" t="n">
        <f aca="false">IF(F10=0,0,F17/F10)</f>
        <v>0.561193809684638</v>
      </c>
      <c r="G18" s="46" t="n">
        <f aca="false">IF(G10=0,0,G17/G10)</f>
        <v>0.5695712491118</v>
      </c>
      <c r="H18" s="46" t="n">
        <f aca="false">IF(H10=0,0,H17/H10)</f>
        <v>0.576247260095556</v>
      </c>
    </row>
    <row r="19" customFormat="false" ht="15" hidden="false" customHeight="true" outlineLevel="0" collapsed="false">
      <c r="B19" s="38" t="s">
        <v>117</v>
      </c>
      <c r="D19" s="43" t="n">
        <f aca="false">D10*Inputs!$D$52</f>
        <v>108000</v>
      </c>
      <c r="E19" s="43" t="n">
        <f aca="false">E10*Inputs!$D$52</f>
        <v>133560</v>
      </c>
      <c r="F19" s="43" t="n">
        <f aca="false">F10*Inputs!$D$52</f>
        <v>157753.44</v>
      </c>
      <c r="G19" s="43" t="n">
        <f aca="false">G10*Inputs!$D$52</f>
        <v>175793.9616</v>
      </c>
      <c r="H19" s="43" t="n">
        <f aca="false">H10*Inputs!$D$52</f>
        <v>193158.97488</v>
      </c>
    </row>
    <row r="20" customFormat="false" ht="15" hidden="false" customHeight="true" outlineLevel="0" collapsed="false">
      <c r="B20" s="38" t="s">
        <v>118</v>
      </c>
      <c r="D20" s="43" t="n">
        <f aca="false">'Asset Register'!$G$25+0/5+D19/10</f>
        <v>306297.972724056</v>
      </c>
      <c r="E20" s="43" t="n">
        <f aca="false">'Asset Register'!$G$26+SUM($D19:D19)/5+E19/10</f>
        <v>330453.972724056</v>
      </c>
      <c r="F20" s="43" t="n">
        <f aca="false">'Asset Register'!$G$27+SUM($D19:E19)/5+F19/10</f>
        <v>359585.316724056</v>
      </c>
      <c r="G20" s="43" t="n">
        <f aca="false">'Asset Register'!$G$28+SUM($D19:F19)/5+G19/10</f>
        <v>392940.056884056</v>
      </c>
      <c r="H20" s="43" t="n">
        <f aca="false">'Asset Register'!$G$29+SUM($D19:G19)/5+H19/10</f>
        <v>429835.350532056</v>
      </c>
    </row>
    <row r="21" customFormat="false" ht="15" hidden="false" customHeight="true" outlineLevel="0" collapsed="false">
      <c r="B21" s="38" t="s">
        <v>119</v>
      </c>
      <c r="D21" s="43" t="n">
        <f aca="false">D17-D20</f>
        <v>1575932.15249892</v>
      </c>
      <c r="E21" s="43" t="n">
        <f aca="false">E17-E20</f>
        <v>2099734.18299344</v>
      </c>
      <c r="F21" s="43" t="n">
        <f aca="false">F17-F20</f>
        <v>2591423.14942451</v>
      </c>
      <c r="G21" s="43" t="n">
        <f aca="false">G17-G20</f>
        <v>2944632.81961007</v>
      </c>
      <c r="H21" s="43" t="n">
        <f aca="false">H17-H20</f>
        <v>3280408.98405015</v>
      </c>
    </row>
    <row r="22" customFormat="false" ht="15" hidden="false" customHeight="true" outlineLevel="0" collapsed="false">
      <c r="B22" s="38" t="s">
        <v>120</v>
      </c>
      <c r="D22" s="43" t="n">
        <f aca="false">MAX(0,D21)*Inputs!$D$54</f>
        <v>472779.645749675</v>
      </c>
      <c r="E22" s="43" t="n">
        <f aca="false">MAX(0,E21)*Inputs!$D$54</f>
        <v>629920.254898033</v>
      </c>
      <c r="F22" s="43" t="n">
        <f aca="false">MAX(0,F21)*Inputs!$D$54</f>
        <v>777426.944827352</v>
      </c>
      <c r="G22" s="43" t="n">
        <f aca="false">MAX(0,G21)*Inputs!$D$54</f>
        <v>883389.845883021</v>
      </c>
      <c r="H22" s="43" t="n">
        <f aca="false">MAX(0,H21)*Inputs!$D$54</f>
        <v>984122.695215046</v>
      </c>
    </row>
    <row r="23" customFormat="false" ht="15" hidden="false" customHeight="true" outlineLevel="0" collapsed="false">
      <c r="B23" s="38" t="s">
        <v>121</v>
      </c>
      <c r="D23" s="43" t="n">
        <f aca="false">D21-D22</f>
        <v>1103152.50674924</v>
      </c>
      <c r="E23" s="43" t="n">
        <f aca="false">E21-E22</f>
        <v>1469813.92809541</v>
      </c>
      <c r="F23" s="43" t="n">
        <f aca="false">F21-F22</f>
        <v>1813996.20459716</v>
      </c>
      <c r="G23" s="43" t="n">
        <f aca="false">G21-G22</f>
        <v>2061242.97372705</v>
      </c>
      <c r="H23" s="43" t="n">
        <f aca="false">H21-H22</f>
        <v>2296286.28883511</v>
      </c>
    </row>
    <row r="24" customFormat="false" ht="15" hidden="false" customHeight="true" outlineLevel="0" collapsed="false">
      <c r="B24" s="38" t="s">
        <v>122</v>
      </c>
      <c r="D24" s="43" t="n">
        <f aca="false">(D10-0)*Inputs!$D$53</f>
        <v>180000</v>
      </c>
      <c r="E24" s="43" t="n">
        <f aca="false">(E10-D10)*Inputs!$D$53</f>
        <v>42600</v>
      </c>
      <c r="F24" s="43" t="n">
        <f aca="false">(F10-E10)*Inputs!$D$53</f>
        <v>40322.4000000001</v>
      </c>
      <c r="G24" s="43" t="n">
        <f aca="false">(G10-F10)*Inputs!$D$53</f>
        <v>30067.536</v>
      </c>
      <c r="H24" s="43" t="n">
        <f aca="false">(H10-G10)*Inputs!$D$53</f>
        <v>28941.6888</v>
      </c>
    </row>
    <row r="25" customFormat="false" ht="15" hidden="false" customHeight="true" outlineLevel="0" collapsed="false">
      <c r="B25" s="37" t="s">
        <v>123</v>
      </c>
      <c r="D25" s="43" t="n">
        <f aca="false">D17-D22-D19-D24</f>
        <v>1121450.4794733</v>
      </c>
      <c r="E25" s="43" t="n">
        <f aca="false">E17-E22-E19-E24</f>
        <v>1624107.90081947</v>
      </c>
      <c r="F25" s="43" t="n">
        <f aca="false">F17-F22-F19-F24</f>
        <v>1975505.68132121</v>
      </c>
      <c r="G25" s="43" t="n">
        <f aca="false">G17-G22-G19-G24</f>
        <v>2248321.53301111</v>
      </c>
      <c r="H25" s="43" t="n">
        <f aca="false">H17-H22-H19-H24</f>
        <v>2504020.97568716</v>
      </c>
    </row>
    <row r="26" customFormat="false" ht="15" hidden="false" customHeight="true" outlineLevel="0" collapsed="false">
      <c r="B26" s="37" t="s">
        <v>124</v>
      </c>
      <c r="D26" s="43" t="n">
        <f aca="false">Capital!$D$39+D25</f>
        <v>1921450.4794733</v>
      </c>
      <c r="E26" s="43" t="n">
        <f aca="false">D26+E25</f>
        <v>3545558.38029276</v>
      </c>
      <c r="F26" s="43" t="n">
        <f aca="false">E26+F25</f>
        <v>5521064.06161398</v>
      </c>
      <c r="G26" s="43" t="n">
        <f aca="false">F26+G25</f>
        <v>7769385.59462508</v>
      </c>
      <c r="H26" s="43" t="n">
        <f aca="false">G26+H25</f>
        <v>10273406.5703122</v>
      </c>
    </row>
    <row r="28" customFormat="false" ht="15" hidden="false" customHeight="true" outlineLevel="0" collapsed="false">
      <c r="B28" s="37" t="s">
        <v>90</v>
      </c>
      <c r="D28" s="43" t="n">
        <f aca="false">SUM(D25:H25)</f>
        <v>9473406.57031224</v>
      </c>
    </row>
    <row r="29" customFormat="false" ht="15" hidden="false" customHeight="true" outlineLevel="0" collapsed="false">
      <c r="B29" s="37" t="s">
        <v>91</v>
      </c>
      <c r="D29" s="43" t="n">
        <f aca="false">SUM(D14:H14)</f>
        <v>2048710.33728</v>
      </c>
    </row>
    <row r="30" customFormat="false" ht="30" hidden="false" customHeight="true" outlineLevel="0" collapsed="false">
      <c r="B30" s="47" t="s">
        <v>125</v>
      </c>
      <c r="D30" s="48" t="n">
        <f aca="false">IF(OR(D8*(1-$D$48)-D11&lt;=0,D8*(1-$D$48-Inputs!$D$51)-D11&lt;=0),"Infeasible",IF(MAX((D15+D16+Inputs!$D$50)/(D8*(1-$D$48)-D11),(D15+D16)/(D8*(1-$D$48-Inputs!$D$51)-D11))&gt;Inputs!$D$16,"Above capacity",MAX((D15+D16+Inputs!$D$50)/(D8*(1-$D$48)-D11),(D15+D16)/(D8*(1-$D$48-Inputs!$D$51)-D11))/Inputs!$D$16))</f>
        <v>0.132803022547145</v>
      </c>
    </row>
    <row r="31" customFormat="false" ht="30" hidden="false" customHeight="true" outlineLevel="0" collapsed="false">
      <c r="B31" s="47" t="s">
        <v>126</v>
      </c>
      <c r="D31" s="49" t="n">
        <f aca="false">IF(OR(D9&lt;=0,1-$D$48&lt;=0,1-$D$48-Inputs!$D$51&lt;=0),"Infeasible",MAX((D15+D16+D11*D9+Inputs!$D$50)/(D9*(1-$D$48)),(D15+D16+D11*D9)/(D9*(1-$D$48-Inputs!$D$51))))</f>
        <v>2717.91126721806</v>
      </c>
    </row>
    <row r="32" customFormat="false" ht="36" hidden="false" customHeight="true" outlineLevel="0" collapsed="false">
      <c r="B32" s="47" t="s">
        <v>127</v>
      </c>
      <c r="D32" s="48" t="n">
        <f aca="false">IF(OR(D8*(1-$D$48)-D11-D8*(Inputs!$D$52+Inputs!$D$53)&lt;=0,D8*(1-$D$48-Inputs!$D$51)-D11-D8*(Inputs!$D$52+Inputs!$D$53)&lt;=0,(1-Inputs!$D$54)*(D8*(1-$D$48)-D11)+Inputs!$D$54*D8*Inputs!$D$52/10-D8*(Inputs!$D$52+Inputs!$D$53)&lt;=0,(1-Inputs!$D$54)*(D8*(1-$D$48-Inputs!$D$51)-D11)+Inputs!$D$54*D8*Inputs!$D$52/10-D8*(Inputs!$D$52+Inputs!$D$53)&lt;=0),"Infeasible",IF(MAX((D15+D16+Inputs!$D$50)/(D8*(1-$D$48)-D11-D8*(Inputs!$D$52+Inputs!$D$53)),(D15+D16)/(D8*(1-$D$48-Inputs!$D$51)-D11-D8*(Inputs!$D$52+Inputs!$D$53)),((1-Inputs!$D$54)*(D15+D16+Inputs!$D$50)-Inputs!$D$54*'Asset Register'!$G$25)/((1-Inputs!$D$54)*(D8*(1-$D$48)-D11)+Inputs!$D$54*D8*Inputs!$D$52/10-D8*(Inputs!$D$52+Inputs!$D$53)),((1-Inputs!$D$54)*(D15+D16)-Inputs!$D$54*'Asset Register'!$G$25)/((1-Inputs!$D$54)*(D8*(1-$D$48-Inputs!$D$51)-D11)+Inputs!$D$54*D8*Inputs!$D$52/10-D8*(Inputs!$D$52+Inputs!$D$53)))&gt;Inputs!$D$16,"Above capacity",MAX(0,(D15+D16+Inputs!$D$50)/(D8*(1-$D$48)-D11-D8*(Inputs!$D$52+Inputs!$D$53)),(D15+D16)/(D8*(1-$D$48-Inputs!$D$51)-D11-D8*(Inputs!$D$52+Inputs!$D$53)),((1-Inputs!$D$54)*(D15+D16+Inputs!$D$50)-Inputs!$D$54*'Asset Register'!$G$25)/((1-Inputs!$D$54)*(D8*(1-$D$48)-D11)+Inputs!$D$54*D8*Inputs!$D$52/10-D8*(Inputs!$D$52+Inputs!$D$53)),((1-Inputs!$D$54)*(D15+D16)-Inputs!$D$54*'Asset Register'!$G$25)/((1-Inputs!$D$54)*(D8*(1-$D$48-Inputs!$D$51)-D11)+Inputs!$D$54*D8*Inputs!$D$52/10-D8*(Inputs!$D$52+Inputs!$D$53)))/Inputs!$D$16))</f>
        <v>0.148936324816777</v>
      </c>
    </row>
    <row r="45" customFormat="false" ht="15" hidden="false" customHeight="true" outlineLevel="0" collapsed="false">
      <c r="B45" s="37" t="s">
        <v>128</v>
      </c>
    </row>
    <row r="46" customFormat="false" ht="15" hidden="false" customHeight="true" outlineLevel="0" collapsed="false">
      <c r="B46" s="38" t="s">
        <v>129</v>
      </c>
      <c r="D46" s="50" t="n">
        <v>1.05</v>
      </c>
    </row>
    <row r="47" customFormat="false" ht="15" hidden="false" customHeight="true" outlineLevel="0" collapsed="false">
      <c r="B47" s="38" t="s">
        <v>130</v>
      </c>
      <c r="D47" s="50" t="n">
        <v>1.1</v>
      </c>
    </row>
    <row r="48" customFormat="false" ht="15" hidden="false" customHeight="true" outlineLevel="0" collapsed="false">
      <c r="B48" s="38" t="s">
        <v>131</v>
      </c>
      <c r="D48" s="51" t="n">
        <v>0.1</v>
      </c>
    </row>
    <row r="49" customFormat="false" ht="15" hidden="false" customHeight="true" outlineLevel="0" collapsed="false">
      <c r="B49" s="38" t="s">
        <v>132</v>
      </c>
      <c r="D49" s="52" t="n">
        <v>7500</v>
      </c>
    </row>
    <row r="50" customFormat="false" ht="15" hidden="false" customHeight="true" outlineLevel="0" collapsed="false">
      <c r="B50" s="38" t="s">
        <v>133</v>
      </c>
      <c r="D50" s="51" t="n">
        <v>0.6</v>
      </c>
      <c r="E50" s="51" t="n">
        <v>0.7</v>
      </c>
      <c r="F50" s="51" t="n">
        <v>0.78</v>
      </c>
      <c r="G50" s="51" t="n">
        <v>0.82</v>
      </c>
      <c r="H50" s="51" t="n">
        <v>0.85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S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2"/>
    <col collapsed="false" customWidth="true" hidden="false" outlineLevel="0" max="15" min="4" style="1" width="13"/>
    <col collapsed="false" customWidth="true" hidden="false" outlineLevel="0" max="17" min="17" style="1" width="15"/>
    <col collapsed="false" customWidth="true" hidden="false" outlineLevel="0" max="19" min="19" style="1" width="46"/>
  </cols>
  <sheetData>
    <row r="2" customFormat="false" ht="15" hidden="false" customHeight="true" outlineLevel="0" collapsed="false">
      <c r="B2" s="37" t="s">
        <v>136</v>
      </c>
    </row>
    <row r="3" customFormat="false" ht="15" hidden="false" customHeight="true" outlineLevel="0" collapsed="false">
      <c r="B3" s="40" t="s">
        <v>137</v>
      </c>
    </row>
    <row r="5" customFormat="false" ht="15" hidden="false" customHeight="true" outlineLevel="0" collapsed="false">
      <c r="D5" s="37" t="s">
        <v>138</v>
      </c>
      <c r="E5" s="37" t="s">
        <v>139</v>
      </c>
      <c r="F5" s="37" t="s">
        <v>140</v>
      </c>
      <c r="G5" s="37" t="s">
        <v>141</v>
      </c>
      <c r="H5" s="37" t="s">
        <v>142</v>
      </c>
      <c r="I5" s="37" t="s">
        <v>143</v>
      </c>
      <c r="J5" s="37" t="s">
        <v>144</v>
      </c>
      <c r="K5" s="37" t="s">
        <v>145</v>
      </c>
      <c r="L5" s="37" t="s">
        <v>146</v>
      </c>
      <c r="M5" s="37" t="s">
        <v>147</v>
      </c>
      <c r="N5" s="37" t="s">
        <v>148</v>
      </c>
      <c r="O5" s="37" t="s">
        <v>149</v>
      </c>
      <c r="Q5" s="37" t="s">
        <v>150</v>
      </c>
    </row>
    <row r="6" customFormat="false" ht="15" hidden="false" customHeight="true" outlineLevel="0" collapsed="false">
      <c r="B6" s="38" t="s">
        <v>151</v>
      </c>
      <c r="D6" s="53" t="n">
        <f aca="false">Regions!G8</f>
        <v>0</v>
      </c>
      <c r="E6" s="53" t="n">
        <f aca="false">Regions!H8</f>
        <v>0</v>
      </c>
      <c r="F6" s="53" t="n">
        <f aca="false">Regions!I8</f>
        <v>4</v>
      </c>
      <c r="G6" s="53" t="n">
        <f aca="false">Regions!J8</f>
        <v>4</v>
      </c>
      <c r="H6" s="53" t="n">
        <f aca="false">Regions!K8</f>
        <v>4</v>
      </c>
      <c r="I6" s="53" t="n">
        <f aca="false">Regions!L8</f>
        <v>4</v>
      </c>
      <c r="J6" s="53" t="n">
        <f aca="false">Regions!M8</f>
        <v>4</v>
      </c>
      <c r="K6" s="53" t="n">
        <f aca="false">Regions!N8</f>
        <v>4</v>
      </c>
      <c r="L6" s="53" t="n">
        <f aca="false">Regions!O8</f>
        <v>4</v>
      </c>
      <c r="M6" s="53" t="n">
        <f aca="false">Regions!P8</f>
        <v>4</v>
      </c>
      <c r="N6" s="53" t="n">
        <f aca="false">Regions!Q8</f>
        <v>4</v>
      </c>
      <c r="O6" s="53" t="n">
        <f aca="false">Regions!R8</f>
        <v>4</v>
      </c>
      <c r="Q6" s="44" t="n">
        <f aca="false">SUM(D6:O6)</f>
        <v>40</v>
      </c>
    </row>
    <row r="7" customFormat="false" ht="15" hidden="false" customHeight="true" outlineLevel="0" collapsed="false">
      <c r="B7" s="38" t="s">
        <v>107</v>
      </c>
      <c r="D7" s="44" t="n">
        <f aca="false">IF($Q$6=0,0,'Five Year'!$D$9*D6/$Q$6)</f>
        <v>0</v>
      </c>
      <c r="E7" s="44" t="n">
        <f aca="false">IF($Q$6=0,0,'Five Year'!$D$9*E6/$Q$6)</f>
        <v>0</v>
      </c>
      <c r="F7" s="44" t="n">
        <f aca="false">IF($Q$6=0,0,'Five Year'!$D$9*F6/$Q$6)</f>
        <v>32</v>
      </c>
      <c r="G7" s="44" t="n">
        <f aca="false">IF($Q$6=0,0,'Five Year'!$D$9*G6/$Q$6)</f>
        <v>32</v>
      </c>
      <c r="H7" s="44" t="n">
        <f aca="false">IF($Q$6=0,0,'Five Year'!$D$9*H6/$Q$6)</f>
        <v>32</v>
      </c>
      <c r="I7" s="44" t="n">
        <f aca="false">IF($Q$6=0,0,'Five Year'!$D$9*I6/$Q$6)</f>
        <v>32</v>
      </c>
      <c r="J7" s="44" t="n">
        <f aca="false">IF($Q$6=0,0,'Five Year'!$D$9*J6/$Q$6)</f>
        <v>32</v>
      </c>
      <c r="K7" s="44" t="n">
        <f aca="false">IF($Q$6=0,0,'Five Year'!$D$9*K6/$Q$6)</f>
        <v>32</v>
      </c>
      <c r="L7" s="44" t="n">
        <f aca="false">IF($Q$6=0,0,'Five Year'!$D$9*L6/$Q$6)</f>
        <v>32</v>
      </c>
      <c r="M7" s="44" t="n">
        <f aca="false">IF($Q$6=0,0,'Five Year'!$D$9*M6/$Q$6)</f>
        <v>32</v>
      </c>
      <c r="N7" s="44" t="n">
        <f aca="false">IF($Q$6=0,0,'Five Year'!$D$9*N6/$Q$6)</f>
        <v>32</v>
      </c>
      <c r="O7" s="44" t="n">
        <f aca="false">IF($Q$6=0,0,'Five Year'!$D$9*O6/$Q$6)</f>
        <v>32</v>
      </c>
      <c r="Q7" s="44" t="n">
        <f aca="false">SUM(D7:O7)</f>
        <v>320</v>
      </c>
      <c r="S7" s="40" t="s">
        <v>152</v>
      </c>
    </row>
    <row r="8" customFormat="false" ht="15" hidden="false" customHeight="true" outlineLevel="0" collapsed="false">
      <c r="B8" s="38" t="s">
        <v>108</v>
      </c>
      <c r="D8" s="43" t="n">
        <f aca="false">D7*'Five Year'!$D$8</f>
        <v>0</v>
      </c>
      <c r="E8" s="43" t="n">
        <f aca="false">E7*'Five Year'!$D$8</f>
        <v>0</v>
      </c>
      <c r="F8" s="43" t="n">
        <f aca="false">F7*'Five Year'!$D$8</f>
        <v>208000</v>
      </c>
      <c r="G8" s="43" t="n">
        <f aca="false">G7*'Five Year'!$D$8</f>
        <v>208000</v>
      </c>
      <c r="H8" s="43" t="n">
        <f aca="false">H7*'Five Year'!$D$8</f>
        <v>208000</v>
      </c>
      <c r="I8" s="43" t="n">
        <f aca="false">I7*'Five Year'!$D$8</f>
        <v>208000</v>
      </c>
      <c r="J8" s="43" t="n">
        <f aca="false">J7*'Five Year'!$D$8</f>
        <v>208000</v>
      </c>
      <c r="K8" s="43" t="n">
        <f aca="false">K7*'Five Year'!$D$8</f>
        <v>208000</v>
      </c>
      <c r="L8" s="43" t="n">
        <f aca="false">L7*'Five Year'!$D$8</f>
        <v>208000</v>
      </c>
      <c r="M8" s="43" t="n">
        <f aca="false">M7*'Five Year'!$D$8</f>
        <v>208000</v>
      </c>
      <c r="N8" s="43" t="n">
        <f aca="false">N7*'Five Year'!$D$8</f>
        <v>208000</v>
      </c>
      <c r="O8" s="43" t="n">
        <f aca="false">O7*'Five Year'!$D$8</f>
        <v>208000</v>
      </c>
      <c r="Q8" s="43" t="n">
        <f aca="false">SUM(D8:O8)</f>
        <v>2080000</v>
      </c>
    </row>
    <row r="9" customFormat="false" ht="15" hidden="false" customHeight="true" outlineLevel="0" collapsed="false">
      <c r="B9" s="38" t="s">
        <v>110</v>
      </c>
      <c r="D9" s="43" t="n">
        <f aca="false">D7*'Five Year'!$D$11</f>
        <v>0</v>
      </c>
      <c r="E9" s="43" t="n">
        <f aca="false">E7*'Five Year'!$D$11</f>
        <v>0</v>
      </c>
      <c r="F9" s="43" t="n">
        <f aca="false">F7*'Five Year'!$D$11</f>
        <v>36907.7365746094</v>
      </c>
      <c r="G9" s="43" t="n">
        <f aca="false">G7*'Five Year'!$D$11</f>
        <v>36907.7365746094</v>
      </c>
      <c r="H9" s="43" t="n">
        <f aca="false">H7*'Five Year'!$D$11</f>
        <v>36907.7365746094</v>
      </c>
      <c r="I9" s="43" t="n">
        <f aca="false">I7*'Five Year'!$D$11</f>
        <v>36907.7365746094</v>
      </c>
      <c r="J9" s="43" t="n">
        <f aca="false">J7*'Five Year'!$D$11</f>
        <v>36907.7365746094</v>
      </c>
      <c r="K9" s="43" t="n">
        <f aca="false">K7*'Five Year'!$D$11</f>
        <v>36907.7365746094</v>
      </c>
      <c r="L9" s="43" t="n">
        <f aca="false">L7*'Five Year'!$D$11</f>
        <v>36907.7365746094</v>
      </c>
      <c r="M9" s="43" t="n">
        <f aca="false">M7*'Five Year'!$D$11</f>
        <v>36907.7365746094</v>
      </c>
      <c r="N9" s="43" t="n">
        <f aca="false">N7*'Five Year'!$D$11</f>
        <v>36907.7365746094</v>
      </c>
      <c r="O9" s="43" t="n">
        <f aca="false">O7*'Five Year'!$D$11</f>
        <v>36907.7365746094</v>
      </c>
      <c r="Q9" s="43" t="n">
        <f aca="false">SUM(D9:O9)</f>
        <v>369077.365746094</v>
      </c>
    </row>
    <row r="10" customFormat="false" ht="15" hidden="false" customHeight="true" outlineLevel="0" collapsed="false">
      <c r="B10" s="38" t="s">
        <v>111</v>
      </c>
      <c r="D10" s="43" t="n">
        <f aca="false">D8*'Five Year'!$D$48</f>
        <v>0</v>
      </c>
      <c r="E10" s="43" t="n">
        <f aca="false">E8*'Five Year'!$D$48</f>
        <v>0</v>
      </c>
      <c r="F10" s="43" t="n">
        <f aca="false">F8*'Five Year'!$D$48</f>
        <v>24960</v>
      </c>
      <c r="G10" s="43" t="n">
        <f aca="false">G8*'Five Year'!$D$48</f>
        <v>24960</v>
      </c>
      <c r="H10" s="43" t="n">
        <f aca="false">H8*'Five Year'!$D$48</f>
        <v>24960</v>
      </c>
      <c r="I10" s="43" t="n">
        <f aca="false">I8*'Five Year'!$D$48</f>
        <v>24960</v>
      </c>
      <c r="J10" s="43" t="n">
        <f aca="false">J8*'Five Year'!$D$48</f>
        <v>24960</v>
      </c>
      <c r="K10" s="43" t="n">
        <f aca="false">K8*'Five Year'!$D$48</f>
        <v>24960</v>
      </c>
      <c r="L10" s="43" t="n">
        <f aca="false">L8*'Five Year'!$D$48</f>
        <v>24960</v>
      </c>
      <c r="M10" s="43" t="n">
        <f aca="false">M8*'Five Year'!$D$48</f>
        <v>24960</v>
      </c>
      <c r="N10" s="43" t="n">
        <f aca="false">N8*'Five Year'!$D$48</f>
        <v>24960</v>
      </c>
      <c r="O10" s="43" t="n">
        <f aca="false">O8*'Five Year'!$D$48</f>
        <v>24960</v>
      </c>
      <c r="Q10" s="43" t="n">
        <f aca="false">SUM(D10:O10)</f>
        <v>249600</v>
      </c>
    </row>
    <row r="11" customFormat="false" ht="15" hidden="false" customHeight="true" outlineLevel="0" collapsed="false">
      <c r="B11" s="38" t="s">
        <v>153</v>
      </c>
      <c r="D11" s="43" t="n">
        <f aca="false">Inputs!$D$50/12+IF(D6&gt;0,('Five Year'!$D$14-Inputs!$D$50)/COUNTIF($D$6:$O$6,"&gt;0"),0)</f>
        <v>8333.33333333333</v>
      </c>
      <c r="E11" s="43" t="n">
        <f aca="false">Inputs!$D$50/12+IF(E6&gt;0,('Five Year'!$D$14-Inputs!$D$50)/COUNTIF($D$6:$O$6,"&gt;0"),0)</f>
        <v>8333.33333333333</v>
      </c>
      <c r="F11" s="43" t="n">
        <f aca="false">Inputs!$D$50/12+IF(F6&gt;0,('Five Year'!$D$14-Inputs!$D$50)/COUNTIF($D$6:$O$6,"&gt;0"),0)</f>
        <v>14973.3333333333</v>
      </c>
      <c r="G11" s="43" t="n">
        <f aca="false">Inputs!$D$50/12+IF(G6&gt;0,('Five Year'!$D$14-Inputs!$D$50)/COUNTIF($D$6:$O$6,"&gt;0"),0)</f>
        <v>14973.3333333333</v>
      </c>
      <c r="H11" s="43" t="n">
        <f aca="false">Inputs!$D$50/12+IF(H6&gt;0,('Five Year'!$D$14-Inputs!$D$50)/COUNTIF($D$6:$O$6,"&gt;0"),0)</f>
        <v>14973.3333333333</v>
      </c>
      <c r="I11" s="43" t="n">
        <f aca="false">Inputs!$D$50/12+IF(I6&gt;0,('Five Year'!$D$14-Inputs!$D$50)/COUNTIF($D$6:$O$6,"&gt;0"),0)</f>
        <v>14973.3333333333</v>
      </c>
      <c r="J11" s="43" t="n">
        <f aca="false">Inputs!$D$50/12+IF(J6&gt;0,('Five Year'!$D$14-Inputs!$D$50)/COUNTIF($D$6:$O$6,"&gt;0"),0)</f>
        <v>14973.3333333333</v>
      </c>
      <c r="K11" s="43" t="n">
        <f aca="false">Inputs!$D$50/12+IF(K6&gt;0,('Five Year'!$D$14-Inputs!$D$50)/COUNTIF($D$6:$O$6,"&gt;0"),0)</f>
        <v>14973.3333333333</v>
      </c>
      <c r="L11" s="43" t="n">
        <f aca="false">Inputs!$D$50/12+IF(L6&gt;0,('Five Year'!$D$14-Inputs!$D$50)/COUNTIF($D$6:$O$6,"&gt;0"),0)</f>
        <v>14973.3333333333</v>
      </c>
      <c r="M11" s="43" t="n">
        <f aca="false">Inputs!$D$50/12+IF(M6&gt;0,('Five Year'!$D$14-Inputs!$D$50)/COUNTIF($D$6:$O$6,"&gt;0"),0)</f>
        <v>14973.3333333333</v>
      </c>
      <c r="N11" s="43" t="n">
        <f aca="false">Inputs!$D$50/12+IF(N6&gt;0,('Five Year'!$D$14-Inputs!$D$50)/COUNTIF($D$6:$O$6,"&gt;0"),0)</f>
        <v>14973.3333333333</v>
      </c>
      <c r="O11" s="43" t="n">
        <f aca="false">Inputs!$D$50/12+IF(O6&gt;0,('Five Year'!$D$14-Inputs!$D$50)/COUNTIF($D$6:$O$6,"&gt;0"),0)</f>
        <v>14973.3333333333</v>
      </c>
      <c r="Q11" s="43" t="n">
        <f aca="false">SUM(D11:O11)</f>
        <v>166400</v>
      </c>
    </row>
    <row r="12" customFormat="false" ht="15" hidden="false" customHeight="true" outlineLevel="0" collapsed="false">
      <c r="B12" s="38" t="s">
        <v>113</v>
      </c>
      <c r="D12" s="43" t="n">
        <f aca="false">'Five Year'!$D$15/12</f>
        <v>32005.532100525</v>
      </c>
      <c r="E12" s="43" t="n">
        <f aca="false">'Five Year'!$D$15/12</f>
        <v>32005.532100525</v>
      </c>
      <c r="F12" s="43" t="n">
        <f aca="false">'Five Year'!$D$15/12</f>
        <v>32005.532100525</v>
      </c>
      <c r="G12" s="43" t="n">
        <f aca="false">'Five Year'!$D$15/12</f>
        <v>32005.532100525</v>
      </c>
      <c r="H12" s="43" t="n">
        <f aca="false">'Five Year'!$D$15/12</f>
        <v>32005.532100525</v>
      </c>
      <c r="I12" s="43" t="n">
        <f aca="false">'Five Year'!$D$15/12</f>
        <v>32005.532100525</v>
      </c>
      <c r="J12" s="43" t="n">
        <f aca="false">'Five Year'!$D$15/12</f>
        <v>32005.532100525</v>
      </c>
      <c r="K12" s="43" t="n">
        <f aca="false">'Five Year'!$D$15/12</f>
        <v>32005.532100525</v>
      </c>
      <c r="L12" s="43" t="n">
        <f aca="false">'Five Year'!$D$15/12</f>
        <v>32005.532100525</v>
      </c>
      <c r="M12" s="43" t="n">
        <f aca="false">'Five Year'!$D$15/12</f>
        <v>32005.532100525</v>
      </c>
      <c r="N12" s="43" t="n">
        <f aca="false">'Five Year'!$D$15/12</f>
        <v>32005.532100525</v>
      </c>
      <c r="O12" s="43" t="n">
        <f aca="false">'Five Year'!$D$15/12</f>
        <v>32005.532100525</v>
      </c>
      <c r="Q12" s="43" t="n">
        <f aca="false">SUM(D12:O12)</f>
        <v>384066.3852063</v>
      </c>
    </row>
    <row r="13" customFormat="false" ht="15" hidden="false" customHeight="true" outlineLevel="0" collapsed="false">
      <c r="B13" s="38" t="s">
        <v>114</v>
      </c>
      <c r="D13" s="43" t="n">
        <f aca="false">'Five Year'!$D$16/12</f>
        <v>5000</v>
      </c>
      <c r="E13" s="43" t="n">
        <f aca="false">'Five Year'!$D$16/12</f>
        <v>5000</v>
      </c>
      <c r="F13" s="43" t="n">
        <f aca="false">'Five Year'!$D$16/12</f>
        <v>5000</v>
      </c>
      <c r="G13" s="43" t="n">
        <f aca="false">'Five Year'!$D$16/12</f>
        <v>5000</v>
      </c>
      <c r="H13" s="43" t="n">
        <f aca="false">'Five Year'!$D$16/12</f>
        <v>5000</v>
      </c>
      <c r="I13" s="43" t="n">
        <f aca="false">'Five Year'!$D$16/12</f>
        <v>5000</v>
      </c>
      <c r="J13" s="43" t="n">
        <f aca="false">'Five Year'!$D$16/12</f>
        <v>5000</v>
      </c>
      <c r="K13" s="43" t="n">
        <f aca="false">'Five Year'!$D$16/12</f>
        <v>5000</v>
      </c>
      <c r="L13" s="43" t="n">
        <f aca="false">'Five Year'!$D$16/12</f>
        <v>5000</v>
      </c>
      <c r="M13" s="43" t="n">
        <f aca="false">'Five Year'!$D$16/12</f>
        <v>5000</v>
      </c>
      <c r="N13" s="43" t="n">
        <f aca="false">'Five Year'!$D$16/12</f>
        <v>5000</v>
      </c>
      <c r="O13" s="43" t="n">
        <f aca="false">'Five Year'!$D$16/12</f>
        <v>5000</v>
      </c>
      <c r="Q13" s="43" t="n">
        <f aca="false">SUM(D13:O13)</f>
        <v>60000</v>
      </c>
    </row>
    <row r="14" customFormat="false" ht="15" hidden="false" customHeight="true" outlineLevel="0" collapsed="false">
      <c r="B14" s="38" t="s">
        <v>154</v>
      </c>
      <c r="D14" s="43" t="n">
        <f aca="false">'Five Year'!$D$22/12</f>
        <v>13727.9569080888</v>
      </c>
      <c r="E14" s="43" t="n">
        <f aca="false">'Five Year'!$D$22/12</f>
        <v>13727.9569080888</v>
      </c>
      <c r="F14" s="43" t="n">
        <f aca="false">'Five Year'!$D$22/12</f>
        <v>13727.9569080888</v>
      </c>
      <c r="G14" s="43" t="n">
        <f aca="false">'Five Year'!$D$22/12</f>
        <v>13727.9569080888</v>
      </c>
      <c r="H14" s="43" t="n">
        <f aca="false">'Five Year'!$D$22/12</f>
        <v>13727.9569080888</v>
      </c>
      <c r="I14" s="43" t="n">
        <f aca="false">'Five Year'!$D$22/12</f>
        <v>13727.9569080888</v>
      </c>
      <c r="J14" s="43" t="n">
        <f aca="false">'Five Year'!$D$22/12</f>
        <v>13727.9569080888</v>
      </c>
      <c r="K14" s="43" t="n">
        <f aca="false">'Five Year'!$D$22/12</f>
        <v>13727.9569080888</v>
      </c>
      <c r="L14" s="43" t="n">
        <f aca="false">'Five Year'!$D$22/12</f>
        <v>13727.9569080888</v>
      </c>
      <c r="M14" s="43" t="n">
        <f aca="false">'Five Year'!$D$22/12</f>
        <v>13727.9569080888</v>
      </c>
      <c r="N14" s="43" t="n">
        <f aca="false">'Five Year'!$D$22/12</f>
        <v>13727.9569080888</v>
      </c>
      <c r="O14" s="43" t="n">
        <f aca="false">'Five Year'!$D$22/12</f>
        <v>13727.9569080888</v>
      </c>
      <c r="Q14" s="43" t="n">
        <f aca="false">SUM(D14:O14)</f>
        <v>164735.482897065</v>
      </c>
    </row>
    <row r="15" customFormat="false" ht="15" hidden="false" customHeight="true" outlineLevel="0" collapsed="false">
      <c r="B15" s="38" t="s">
        <v>122</v>
      </c>
      <c r="D15" s="43" t="n">
        <f aca="false">'Five Year'!$D$24/12</f>
        <v>8666.66666666667</v>
      </c>
      <c r="E15" s="43" t="n">
        <f aca="false">'Five Year'!$D$24/12</f>
        <v>8666.66666666667</v>
      </c>
      <c r="F15" s="43" t="n">
        <f aca="false">'Five Year'!$D$24/12</f>
        <v>8666.66666666667</v>
      </c>
      <c r="G15" s="43" t="n">
        <f aca="false">'Five Year'!$D$24/12</f>
        <v>8666.66666666667</v>
      </c>
      <c r="H15" s="43" t="n">
        <f aca="false">'Five Year'!$D$24/12</f>
        <v>8666.66666666667</v>
      </c>
      <c r="I15" s="43" t="n">
        <f aca="false">'Five Year'!$D$24/12</f>
        <v>8666.66666666667</v>
      </c>
      <c r="J15" s="43" t="n">
        <f aca="false">'Five Year'!$D$24/12</f>
        <v>8666.66666666667</v>
      </c>
      <c r="K15" s="43" t="n">
        <f aca="false">'Five Year'!$D$24/12</f>
        <v>8666.66666666667</v>
      </c>
      <c r="L15" s="43" t="n">
        <f aca="false">'Five Year'!$D$24/12</f>
        <v>8666.66666666667</v>
      </c>
      <c r="M15" s="43" t="n">
        <f aca="false">'Five Year'!$D$24/12</f>
        <v>8666.66666666667</v>
      </c>
      <c r="N15" s="43" t="n">
        <f aca="false">'Five Year'!$D$24/12</f>
        <v>8666.66666666667</v>
      </c>
      <c r="O15" s="43" t="n">
        <f aca="false">'Five Year'!$D$24/12</f>
        <v>8666.66666666667</v>
      </c>
      <c r="Q15" s="43" t="n">
        <f aca="false">SUM(D15:O15)</f>
        <v>104000</v>
      </c>
    </row>
    <row r="16" customFormat="false" ht="15" hidden="false" customHeight="true" outlineLevel="0" collapsed="false">
      <c r="B16" s="38" t="s">
        <v>117</v>
      </c>
      <c r="D16" s="43" t="n">
        <f aca="false">D8*Inputs!$D$52</f>
        <v>0</v>
      </c>
      <c r="E16" s="43" t="n">
        <f aca="false">E8*Inputs!$D$52</f>
        <v>0</v>
      </c>
      <c r="F16" s="43" t="n">
        <f aca="false">F8*Inputs!$D$52</f>
        <v>6240</v>
      </c>
      <c r="G16" s="43" t="n">
        <f aca="false">G8*Inputs!$D$52</f>
        <v>6240</v>
      </c>
      <c r="H16" s="43" t="n">
        <f aca="false">H8*Inputs!$D$52</f>
        <v>6240</v>
      </c>
      <c r="I16" s="43" t="n">
        <f aca="false">I8*Inputs!$D$52</f>
        <v>6240</v>
      </c>
      <c r="J16" s="43" t="n">
        <f aca="false">J8*Inputs!$D$52</f>
        <v>6240</v>
      </c>
      <c r="K16" s="43" t="n">
        <f aca="false">K8*Inputs!$D$52</f>
        <v>6240</v>
      </c>
      <c r="L16" s="43" t="n">
        <f aca="false">L8*Inputs!$D$52</f>
        <v>6240</v>
      </c>
      <c r="M16" s="43" t="n">
        <f aca="false">M8*Inputs!$D$52</f>
        <v>6240</v>
      </c>
      <c r="N16" s="43" t="n">
        <f aca="false">N8*Inputs!$D$52</f>
        <v>6240</v>
      </c>
      <c r="O16" s="43" t="n">
        <f aca="false">O8*Inputs!$D$52</f>
        <v>6240</v>
      </c>
      <c r="Q16" s="43" t="n">
        <f aca="false">SUM(D16:O16)</f>
        <v>62400</v>
      </c>
    </row>
    <row r="17" customFormat="false" ht="15" hidden="false" customHeight="true" outlineLevel="0" collapsed="false">
      <c r="B17" s="37" t="s">
        <v>123</v>
      </c>
      <c r="D17" s="43" t="n">
        <f aca="false">D8-D9-D10-D11-D12-D13-D14-D15-D16</f>
        <v>-67733.4890086137</v>
      </c>
      <c r="E17" s="43" t="n">
        <f aca="false">E8-E9-E10-E11-E12-E13-E14-E15-E16</f>
        <v>-67733.4890086137</v>
      </c>
      <c r="F17" s="43" t="n">
        <f aca="false">F8-F9-F10-F11-F12-F13-F14-F15-F16</f>
        <v>65518.7744167768</v>
      </c>
      <c r="G17" s="43" t="n">
        <f aca="false">G8-G9-G10-G11-G12-G13-G14-G15-G16</f>
        <v>65518.7744167768</v>
      </c>
      <c r="H17" s="43" t="n">
        <f aca="false">H8-H9-H10-H11-H12-H13-H14-H15-H16</f>
        <v>65518.7744167768</v>
      </c>
      <c r="I17" s="43" t="n">
        <f aca="false">I8-I9-I10-I11-I12-I13-I14-I15-I16</f>
        <v>65518.7744167768</v>
      </c>
      <c r="J17" s="43" t="n">
        <f aca="false">J8-J9-J10-J11-J12-J13-J14-J15-J16</f>
        <v>65518.7744167768</v>
      </c>
      <c r="K17" s="43" t="n">
        <f aca="false">K8-K9-K10-K11-K12-K13-K14-K15-K16</f>
        <v>65518.7744167768</v>
      </c>
      <c r="L17" s="43" t="n">
        <f aca="false">L8-L9-L10-L11-L12-L13-L14-L15-L16</f>
        <v>65518.7744167768</v>
      </c>
      <c r="M17" s="43" t="n">
        <f aca="false">M8-M9-M10-M11-M12-M13-M14-M15-M16</f>
        <v>65518.7744167768</v>
      </c>
      <c r="N17" s="43" t="n">
        <f aca="false">N8-N9-N10-N11-N12-N13-N14-N15-N16</f>
        <v>65518.7744167768</v>
      </c>
      <c r="O17" s="43" t="n">
        <f aca="false">O8-O9-O10-O11-O12-O13-O14-O15-O16</f>
        <v>65518.7744167768</v>
      </c>
      <c r="Q17" s="43" t="n">
        <f aca="false">SUM(D17:O17)</f>
        <v>519720.766150541</v>
      </c>
    </row>
    <row r="18" customFormat="false" ht="15" hidden="false" customHeight="true" outlineLevel="0" collapsed="false">
      <c r="B18" s="37" t="s">
        <v>124</v>
      </c>
      <c r="D18" s="43" t="n">
        <f aca="false">Capital!$D$39+D17</f>
        <v>732266.510991386</v>
      </c>
      <c r="E18" s="43" t="n">
        <f aca="false">D18+E17</f>
        <v>664533.021982772</v>
      </c>
      <c r="F18" s="43" t="n">
        <f aca="false">E18+F17</f>
        <v>730051.796399549</v>
      </c>
      <c r="G18" s="43" t="n">
        <f aca="false">F18+G17</f>
        <v>795570.570816326</v>
      </c>
      <c r="H18" s="43" t="n">
        <f aca="false">G18+H17</f>
        <v>861089.345233103</v>
      </c>
      <c r="I18" s="43" t="n">
        <f aca="false">H18+I17</f>
        <v>926608.119649879</v>
      </c>
      <c r="J18" s="43" t="n">
        <f aca="false">I18+J17</f>
        <v>992126.894066656</v>
      </c>
      <c r="K18" s="43" t="n">
        <f aca="false">J18+K17</f>
        <v>1057645.66848343</v>
      </c>
      <c r="L18" s="43" t="n">
        <f aca="false">K18+L17</f>
        <v>1123164.44290021</v>
      </c>
      <c r="M18" s="43" t="n">
        <f aca="false">L18+M17</f>
        <v>1188683.21731699</v>
      </c>
      <c r="N18" s="43" t="n">
        <f aca="false">M18+N17</f>
        <v>1254201.99173376</v>
      </c>
      <c r="O18" s="43" t="n">
        <f aca="false">N18+O17</f>
        <v>1319720.76615054</v>
      </c>
    </row>
    <row r="20" customFormat="false" ht="15" hidden="false" customHeight="true" outlineLevel="0" collapsed="false">
      <c r="B20" s="37" t="s">
        <v>155</v>
      </c>
      <c r="D20" s="43" t="n">
        <f aca="false">MIN(D18:O18)</f>
        <v>664533.021982772</v>
      </c>
    </row>
    <row r="21" customFormat="false" ht="15" hidden="false" customHeight="true" outlineLevel="0" collapsed="false">
      <c r="B21" s="38" t="s">
        <v>156</v>
      </c>
      <c r="D21" s="39" t="n">
        <f aca="false">Inputs!D56</f>
        <v>300000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R3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6"/>
    <col collapsed="false" customWidth="true" hidden="false" outlineLevel="0" max="8" min="4" style="1" width="19"/>
    <col collapsed="false" customWidth="true" hidden="false" outlineLevel="0" max="10" min="10" style="1" width="52"/>
  </cols>
  <sheetData>
    <row r="2" customFormat="false" ht="15" hidden="false" customHeight="true" outlineLevel="0" collapsed="false">
      <c r="B2" s="37" t="s">
        <v>157</v>
      </c>
    </row>
    <row r="3" customFormat="false" ht="15" hidden="false" customHeight="true" outlineLevel="0" collapsed="false">
      <c r="B3" s="40" t="s">
        <v>158</v>
      </c>
    </row>
    <row r="5" customFormat="false" ht="26.25" hidden="false" customHeight="true" outlineLevel="0" collapsed="false">
      <c r="D5" s="54" t="s">
        <v>159</v>
      </c>
      <c r="E5" s="54" t="s">
        <v>160</v>
      </c>
      <c r="F5" s="54" t="s">
        <v>161</v>
      </c>
      <c r="G5" s="54" t="s">
        <v>162</v>
      </c>
      <c r="H5" s="54" t="s">
        <v>163</v>
      </c>
      <c r="I5" s="55" t="s">
        <v>164</v>
      </c>
      <c r="J5" s="55" t="s">
        <v>165</v>
      </c>
    </row>
    <row r="6" customFormat="false" ht="15" hidden="false" customHeight="true" outlineLevel="0" collapsed="false">
      <c r="B6" s="38" t="s">
        <v>166</v>
      </c>
      <c r="D6" s="51" t="n">
        <v>0</v>
      </c>
      <c r="E6" s="51" t="n">
        <v>0.1</v>
      </c>
      <c r="F6" s="51" t="n">
        <v>0</v>
      </c>
      <c r="G6" s="51" t="n">
        <v>0</v>
      </c>
      <c r="H6" s="51" t="n">
        <v>0.1</v>
      </c>
      <c r="I6" s="56" t="n">
        <v>0</v>
      </c>
      <c r="J6" s="56" t="n">
        <v>0.1</v>
      </c>
      <c r="Q6" s="44" t="n">
        <f aca="false">SUM(Regions!G8:R8)</f>
        <v>40</v>
      </c>
    </row>
    <row r="7" customFormat="false" ht="15" hidden="false" customHeight="true" outlineLevel="0" collapsed="false">
      <c r="B7" s="38" t="s">
        <v>167</v>
      </c>
      <c r="D7" s="50" t="n">
        <v>1</v>
      </c>
      <c r="E7" s="50" t="n">
        <v>0.9</v>
      </c>
      <c r="F7" s="50" t="n">
        <v>1</v>
      </c>
      <c r="G7" s="50" t="n">
        <v>1</v>
      </c>
      <c r="H7" s="50" t="n">
        <v>0.9</v>
      </c>
      <c r="I7" s="50" t="n">
        <v>1</v>
      </c>
      <c r="J7" s="50" t="n">
        <v>0.9</v>
      </c>
    </row>
    <row r="8" customFormat="false" ht="15" hidden="false" customHeight="true" outlineLevel="0" collapsed="false">
      <c r="B8" s="38" t="s">
        <v>168</v>
      </c>
      <c r="D8" s="50" t="n">
        <v>1</v>
      </c>
      <c r="E8" s="50" t="n">
        <v>1.1</v>
      </c>
      <c r="F8" s="50" t="n">
        <v>1</v>
      </c>
      <c r="G8" s="50" t="n">
        <v>1</v>
      </c>
      <c r="H8" s="50" t="n">
        <v>1.1</v>
      </c>
      <c r="I8" s="50" t="n">
        <v>1</v>
      </c>
      <c r="J8" s="50" t="n">
        <v>1.1</v>
      </c>
    </row>
    <row r="9" customFormat="false" ht="15" hidden="false" customHeight="true" outlineLevel="0" collapsed="false">
      <c r="B9" s="38" t="s">
        <v>169</v>
      </c>
      <c r="D9" s="50" t="n">
        <v>1</v>
      </c>
      <c r="E9" s="50" t="n">
        <v>1.1</v>
      </c>
      <c r="F9" s="50" t="n">
        <v>1</v>
      </c>
      <c r="G9" s="50" t="n">
        <v>1</v>
      </c>
      <c r="H9" s="50" t="n">
        <v>1.1</v>
      </c>
      <c r="I9" s="50" t="n">
        <v>1</v>
      </c>
      <c r="J9" s="50" t="n">
        <v>1.1</v>
      </c>
    </row>
    <row r="10" customFormat="false" ht="15" hidden="false" customHeight="true" outlineLevel="0" collapsed="false">
      <c r="B10" s="38" t="s">
        <v>170</v>
      </c>
      <c r="D10" s="50" t="n">
        <v>1</v>
      </c>
      <c r="E10" s="50" t="n">
        <v>1</v>
      </c>
      <c r="F10" s="50" t="n">
        <v>1</v>
      </c>
      <c r="G10" s="50" t="n">
        <v>1.2</v>
      </c>
      <c r="H10" s="50" t="n">
        <v>1.2</v>
      </c>
      <c r="I10" s="50" t="n">
        <v>1</v>
      </c>
      <c r="J10" s="50" t="n">
        <v>1.2</v>
      </c>
    </row>
    <row r="11" customFormat="false" ht="15" hidden="false" customHeight="true" outlineLevel="0" collapsed="false">
      <c r="B11" s="38" t="s">
        <v>171</v>
      </c>
      <c r="D11" s="57" t="n">
        <f aca="false">Capital!D6</f>
        <v>22.3122</v>
      </c>
      <c r="E11" s="57" t="n">
        <f aca="false">Capital!E6</f>
        <v>22.3122</v>
      </c>
      <c r="F11" s="57" t="n">
        <f aca="false">Capital!F6</f>
        <v>18.5935</v>
      </c>
      <c r="G11" s="57" t="n">
        <f aca="false">Capital!G6</f>
        <v>22.3122</v>
      </c>
      <c r="H11" s="57" t="n">
        <f aca="false">Capital!H6</f>
        <v>18.5935</v>
      </c>
      <c r="I11" s="58" t="n">
        <f aca="false">Capital!I6</f>
        <v>22.3122</v>
      </c>
      <c r="J11" s="58" t="n">
        <f aca="false">Capital!J6</f>
        <v>18.5935</v>
      </c>
    </row>
    <row r="12" customFormat="false" ht="15" hidden="false" customHeight="true" outlineLevel="0" collapsed="false">
      <c r="B12" s="38" t="s">
        <v>172</v>
      </c>
      <c r="D12" s="59" t="n">
        <f aca="false">Capital!D7</f>
        <v>1</v>
      </c>
      <c r="E12" s="59" t="n">
        <f aca="false">Capital!E7</f>
        <v>1</v>
      </c>
      <c r="F12" s="59" t="n">
        <f aca="false">Capital!F7</f>
        <v>1</v>
      </c>
      <c r="G12" s="59" t="n">
        <f aca="false">Capital!G7</f>
        <v>1.2</v>
      </c>
      <c r="H12" s="59" t="n">
        <f aca="false">Capital!H7</f>
        <v>1.2</v>
      </c>
      <c r="I12" s="60" t="n">
        <f aca="false">Capital!I7</f>
        <v>1</v>
      </c>
      <c r="J12" s="60" t="n">
        <f aca="false">Capital!J7</f>
        <v>1.2</v>
      </c>
    </row>
    <row r="14" customFormat="false" ht="15" hidden="false" customHeight="true" outlineLevel="0" collapsed="false">
      <c r="B14" s="37" t="s">
        <v>173</v>
      </c>
      <c r="D14" s="43" t="n">
        <f aca="false">Capital!D39</f>
        <v>800000</v>
      </c>
      <c r="E14" s="43" t="n">
        <f aca="false">Capital!E39</f>
        <v>800000</v>
      </c>
      <c r="F14" s="43" t="n">
        <f aca="false">Capital!F39</f>
        <v>297136.095947508</v>
      </c>
      <c r="G14" s="43" t="n">
        <f aca="false">Capital!G39</f>
        <v>92359.1913840845</v>
      </c>
      <c r="H14" s="43" t="n">
        <f aca="false">Capital!H39</f>
        <v>-504623.625191599</v>
      </c>
      <c r="I14" s="61" t="n">
        <f aca="false">Capital!I39</f>
        <v>587855.308306666</v>
      </c>
      <c r="J14" s="61" t="n">
        <f aca="false">Capital!J39</f>
        <v>-760750.37862694</v>
      </c>
    </row>
    <row r="15" customFormat="false" ht="15" hidden="false" customHeight="true" outlineLevel="0" collapsed="false">
      <c r="B15" s="37" t="s">
        <v>84</v>
      </c>
      <c r="D15" s="43" t="n">
        <f aca="false">D48</f>
        <v>519720.766150541</v>
      </c>
      <c r="E15" s="43" t="n">
        <f aca="false">D90</f>
        <v>208759.696489997</v>
      </c>
      <c r="F15" s="43" t="n">
        <f aca="false">D132</f>
        <v>461007.021454834</v>
      </c>
      <c r="G15" s="43" t="n">
        <f aca="false">D174</f>
        <v>469810.519380649</v>
      </c>
      <c r="H15" s="43" t="n">
        <f aca="false">D216</f>
        <v>-305.064673138215</v>
      </c>
      <c r="I15" s="61" t="n">
        <f aca="false">D258</f>
        <v>521848.351554154</v>
      </c>
      <c r="J15" s="61" t="n">
        <f aca="false">D300</f>
        <v>-305.064673138215</v>
      </c>
    </row>
    <row r="16" customFormat="false" ht="15" hidden="false" customHeight="true" outlineLevel="0" collapsed="false">
      <c r="B16" s="37" t="s">
        <v>89</v>
      </c>
      <c r="D16" s="43" t="n">
        <f aca="false">H49</f>
        <v>5903992.77651551</v>
      </c>
      <c r="E16" s="43" t="n">
        <f aca="false">H91</f>
        <v>3717942.2004183</v>
      </c>
      <c r="F16" s="43" t="n">
        <f aca="false">H133</f>
        <v>5028001.86092898</v>
      </c>
      <c r="G16" s="43" t="n">
        <f aca="false">H175</f>
        <v>4867242.44599463</v>
      </c>
      <c r="H16" s="43" t="n">
        <f aca="false">H217</f>
        <v>1504336.76586665</v>
      </c>
      <c r="I16" s="61" t="n">
        <f aca="false">H259</f>
        <v>5702486.01184024</v>
      </c>
      <c r="J16" s="61" t="n">
        <f aca="false">H301</f>
        <v>1256640.55915412</v>
      </c>
    </row>
    <row r="17" customFormat="false" ht="15" hidden="false" customHeight="true" outlineLevel="0" collapsed="false">
      <c r="B17" s="37" t="s">
        <v>90</v>
      </c>
      <c r="D17" s="43" t="n">
        <f aca="false">SUM(D48:H48)</f>
        <v>5103992.77651551</v>
      </c>
      <c r="E17" s="43" t="n">
        <f aca="false">SUM(D90:H90)</f>
        <v>2917942.2004183</v>
      </c>
      <c r="F17" s="43" t="n">
        <f aca="false">SUM(D132:H132)</f>
        <v>4730865.76498147</v>
      </c>
      <c r="G17" s="43" t="n">
        <f aca="false">SUM(D174:H174)</f>
        <v>4774883.25461055</v>
      </c>
      <c r="H17" s="43" t="n">
        <f aca="false">SUM(D216:H216)</f>
        <v>2008960.39105825</v>
      </c>
      <c r="I17" s="61" t="n">
        <f aca="false">SUM(D258:H258)</f>
        <v>5114630.70353358</v>
      </c>
      <c r="J17" s="61" t="n">
        <f aca="false">SUM(D300:H300)</f>
        <v>2017390.93778106</v>
      </c>
    </row>
    <row r="18" customFormat="false" ht="15" hidden="false" customHeight="true" outlineLevel="0" collapsed="false">
      <c r="B18" s="37" t="s">
        <v>174</v>
      </c>
      <c r="D18" s="43" t="n">
        <f aca="false">D58</f>
        <v>664533.021982772</v>
      </c>
      <c r="E18" s="43" t="n">
        <f aca="false">D100</f>
        <v>687028.087205087</v>
      </c>
      <c r="F18" s="43" t="n">
        <f aca="false">D142</f>
        <v>156186.072672532</v>
      </c>
      <c r="G18" s="43" t="n">
        <f aca="false">D184</f>
        <v>-47123.5822365884</v>
      </c>
      <c r="H18" s="43" t="n">
        <f aca="false">D226</f>
        <v>-644630.484219396</v>
      </c>
      <c r="I18" s="61" t="n">
        <f aca="false">D268</f>
        <v>452742.927856707</v>
      </c>
      <c r="J18" s="61" t="n">
        <f aca="false">D310</f>
        <v>-900757.237654736</v>
      </c>
    </row>
    <row r="19" customFormat="false" ht="15" hidden="false" customHeight="true" outlineLevel="0" collapsed="false">
      <c r="B19" s="37" t="s">
        <v>175</v>
      </c>
      <c r="D19" s="43" t="n">
        <f aca="false">MAX(0,Inputs!$D$56-D18)</f>
        <v>0</v>
      </c>
      <c r="E19" s="43" t="n">
        <f aca="false">MAX(0,Inputs!$D$56-E18)</f>
        <v>0</v>
      </c>
      <c r="F19" s="43" t="n">
        <f aca="false">MAX(0,Inputs!$D$56-F18)</f>
        <v>143813.927327468</v>
      </c>
      <c r="G19" s="43" t="n">
        <f aca="false">MAX(0,Inputs!$D$56-G18)</f>
        <v>347123.582236588</v>
      </c>
      <c r="H19" s="43" t="n">
        <f aca="false">MAX(0,Inputs!$D$56-H18)</f>
        <v>944630.484219396</v>
      </c>
      <c r="I19" s="61" t="n">
        <f aca="false">MAX(0,Inputs!$D$56-I18)</f>
        <v>0</v>
      </c>
      <c r="J19" s="61" t="n">
        <f aca="false">MAX(0,Inputs!$D$56-J18)</f>
        <v>1200757.23765474</v>
      </c>
      <c r="L19" s="62" t="s">
        <v>176</v>
      </c>
    </row>
    <row r="21" customFormat="false" ht="15" hidden="false" customHeight="true" outlineLevel="0" collapsed="false">
      <c r="B21" s="37" t="s">
        <v>177</v>
      </c>
      <c r="D21" s="39" t="n">
        <f aca="false">Capital!D40</f>
        <v>1210000</v>
      </c>
    </row>
    <row r="22" customFormat="false" ht="15" hidden="false" customHeight="true" outlineLevel="0" collapsed="false">
      <c r="B22" s="37" t="s">
        <v>96</v>
      </c>
      <c r="D22" s="39" t="n">
        <f aca="false">Capital!D41</f>
        <v>5829550.75026219</v>
      </c>
    </row>
    <row r="28" customFormat="false" ht="15" hidden="false" customHeight="true" outlineLevel="0" collapsed="false">
      <c r="B28" s="37" t="s">
        <v>178</v>
      </c>
    </row>
    <row r="29" customFormat="false" ht="15" hidden="false" customHeight="true" outlineLevel="0" collapsed="false">
      <c r="D29" s="37" t="s">
        <v>99</v>
      </c>
      <c r="E29" s="37" t="s">
        <v>100</v>
      </c>
      <c r="F29" s="37" t="s">
        <v>101</v>
      </c>
      <c r="G29" s="37" t="s">
        <v>102</v>
      </c>
      <c r="H29" s="37" t="s">
        <v>103</v>
      </c>
    </row>
    <row r="30" customFormat="false" ht="15" hidden="false" customHeight="true" outlineLevel="0" collapsed="false">
      <c r="B30" s="38" t="s">
        <v>104</v>
      </c>
      <c r="D30" s="42" t="n">
        <f aca="false">MAX(0,'Five Year'!D$50-$D$6)</f>
        <v>0.4</v>
      </c>
      <c r="E30" s="42" t="n">
        <f aca="false">MAX(0,'Five Year'!E$50-$D$6)</f>
        <v>0.48</v>
      </c>
      <c r="F30" s="42" t="n">
        <f aca="false">MAX(0,'Five Year'!F$50-$D$6)</f>
        <v>0.55</v>
      </c>
      <c r="G30" s="42" t="n">
        <f aca="false">MAX(0,'Five Year'!G$50-$D$6)</f>
        <v>0.6</v>
      </c>
      <c r="H30" s="42" t="n">
        <f aca="false">MAX(0,'Five Year'!H$50-$D$6)</f>
        <v>0.65</v>
      </c>
    </row>
    <row r="31" customFormat="false" ht="15" hidden="false" customHeight="true" outlineLevel="0" collapsed="false">
      <c r="B31" s="38" t="s">
        <v>106</v>
      </c>
      <c r="D31" s="43" t="n">
        <f aca="false">'Five Year'!$D$49*$D$7*(1+Inputs!$D$49)^0</f>
        <v>6500</v>
      </c>
      <c r="E31" s="43" t="n">
        <f aca="false">'Five Year'!$D$49*$D$7*(1+Inputs!$D$49)^1</f>
        <v>6890</v>
      </c>
      <c r="F31" s="43" t="n">
        <f aca="false">'Five Year'!$D$49*$D$7*(1+Inputs!$D$49)^2</f>
        <v>7303.4</v>
      </c>
      <c r="G31" s="43" t="n">
        <f aca="false">'Five Year'!$D$49*$D$7*(1+Inputs!$D$49)^3</f>
        <v>7741.604</v>
      </c>
      <c r="H31" s="43" t="n">
        <f aca="false">'Five Year'!$D$49*$D$7*(1+Inputs!$D$49)^4</f>
        <v>8206.10024</v>
      </c>
    </row>
    <row r="32" customFormat="false" ht="15" hidden="false" customHeight="true" outlineLevel="0" collapsed="false">
      <c r="B32" s="38" t="s">
        <v>107</v>
      </c>
      <c r="D32" s="44" t="n">
        <f aca="false">Inputs!$D$16*D30</f>
        <v>320</v>
      </c>
      <c r="E32" s="44" t="n">
        <f aca="false">Inputs!$D$16*E30</f>
        <v>384</v>
      </c>
      <c r="F32" s="44" t="n">
        <f aca="false">Inputs!$D$16*F30</f>
        <v>440</v>
      </c>
      <c r="G32" s="44" t="n">
        <f aca="false">Inputs!$D$16*G30</f>
        <v>480</v>
      </c>
      <c r="H32" s="44" t="n">
        <f aca="false">Inputs!$D$16*H30</f>
        <v>520</v>
      </c>
    </row>
    <row r="33" customFormat="false" ht="15" hidden="false" customHeight="true" outlineLevel="0" collapsed="false">
      <c r="B33" s="38" t="s">
        <v>108</v>
      </c>
      <c r="D33" s="43" t="n">
        <f aca="false">D32*D31</f>
        <v>2080000</v>
      </c>
      <c r="E33" s="43" t="n">
        <f aca="false">E32*E31</f>
        <v>2645760</v>
      </c>
      <c r="F33" s="43" t="n">
        <f aca="false">F32*F31</f>
        <v>3213496</v>
      </c>
      <c r="G33" s="43" t="n">
        <f aca="false">G32*G31</f>
        <v>3715969.92</v>
      </c>
      <c r="H33" s="43" t="n">
        <f aca="false">H32*H31</f>
        <v>4267172.1248</v>
      </c>
    </row>
    <row r="34" customFormat="false" ht="15" hidden="false" customHeight="true" outlineLevel="0" collapsed="false">
      <c r="B34" s="38" t="s">
        <v>109</v>
      </c>
      <c r="D34" s="45" t="n">
        <f aca="false">((Inputs!$E$41*'Five Year'!$D$46*$D$10/Capital!$D$6)*(1+Inputs!$D$47)^0+Inputs!$E$42*'Five Year'!$D$46*(1+Inputs!$D$48)^0)*$D$8</f>
        <v>1153.36676795654</v>
      </c>
      <c r="E34" s="45" t="n">
        <f aca="false">((Inputs!$E$41*'Five Year'!$D$46*$D$10/Capital!$D$6)*(1+Inputs!$D$47)^1+Inputs!$E$42*'Five Year'!$D$46*(1+Inputs!$D$48)^1)*$D$8</f>
        <v>1200.06877403394</v>
      </c>
      <c r="F34" s="45" t="n">
        <f aca="false">((Inputs!$E$41*'Five Year'!$D$46*$D$10/Capital!$D$6)*(1+Inputs!$D$47)^2+Inputs!$E$42*'Five Year'!$D$46*(1+Inputs!$D$48)^2)*$D$8</f>
        <v>1248.89790047597</v>
      </c>
      <c r="G34" s="45" t="n">
        <f aca="false">((Inputs!$E$41*'Five Year'!$D$46*$D$10/Capital!$D$6)*(1+Inputs!$D$47)^3+Inputs!$E$42*'Five Year'!$D$46*(1+Inputs!$D$48)^3)*$D$8</f>
        <v>1299.96152450453</v>
      </c>
      <c r="H34" s="45" t="n">
        <f aca="false">((Inputs!$E$41*'Five Year'!$D$46*$D$10/Capital!$D$6)*(1+Inputs!$D$47)^4+Inputs!$E$42*'Five Year'!$D$46*(1+Inputs!$D$48)^4)*$D$8</f>
        <v>1353.3728584748</v>
      </c>
    </row>
    <row r="35" customFormat="false" ht="15" hidden="false" customHeight="true" outlineLevel="0" collapsed="false">
      <c r="B35" s="38" t="s">
        <v>110</v>
      </c>
      <c r="D35" s="43" t="n">
        <f aca="false">D34*D32</f>
        <v>369077.365746094</v>
      </c>
      <c r="E35" s="43" t="n">
        <f aca="false">E34*E32</f>
        <v>460826.409229032</v>
      </c>
      <c r="F35" s="43" t="n">
        <f aca="false">F34*F32</f>
        <v>549515.076209428</v>
      </c>
      <c r="G35" s="43" t="n">
        <f aca="false">G34*G32</f>
        <v>623981.531762175</v>
      </c>
      <c r="H35" s="43" t="n">
        <f aca="false">H34*H32</f>
        <v>703753.886406898</v>
      </c>
    </row>
    <row r="36" customFormat="false" ht="15" hidden="false" customHeight="true" outlineLevel="0" collapsed="false">
      <c r="B36" s="38" t="s">
        <v>111</v>
      </c>
      <c r="D36" s="43" t="n">
        <f aca="false">D33*'Five Year'!$D$48</f>
        <v>249600</v>
      </c>
      <c r="E36" s="43" t="n">
        <f aca="false">E33*'Five Year'!$D$48</f>
        <v>317491.2</v>
      </c>
      <c r="F36" s="43" t="n">
        <f aca="false">F33*'Five Year'!$D$48</f>
        <v>385619.52</v>
      </c>
      <c r="G36" s="43" t="n">
        <f aca="false">G33*'Five Year'!$D$48</f>
        <v>445916.3904</v>
      </c>
      <c r="H36" s="43" t="n">
        <f aca="false">H33*'Five Year'!$D$48</f>
        <v>512060.654976</v>
      </c>
    </row>
    <row r="37" customFormat="false" ht="15" hidden="false" customHeight="true" outlineLevel="0" collapsed="false">
      <c r="B37" s="38" t="s">
        <v>112</v>
      </c>
      <c r="D37" s="43" t="n">
        <f aca="false">MAX(Inputs!$D$50*$D$9*(1+Inputs!$D$48)^0,Inputs!$D$51*D33)</f>
        <v>166400</v>
      </c>
      <c r="E37" s="43" t="n">
        <f aca="false">MAX(Inputs!$D$50*$D$9*(1+Inputs!$D$48)^1,Inputs!$D$51*E33)</f>
        <v>211660.8</v>
      </c>
      <c r="F37" s="43" t="n">
        <f aca="false">MAX(Inputs!$D$50*$D$9*(1+Inputs!$D$48)^2,Inputs!$D$51*F33)</f>
        <v>257079.68</v>
      </c>
      <c r="G37" s="43" t="n">
        <f aca="false">MAX(Inputs!$D$50*$D$9*(1+Inputs!$D$48)^3,Inputs!$D$51*G33)</f>
        <v>297277.5936</v>
      </c>
      <c r="H37" s="43" t="n">
        <f aca="false">MAX(Inputs!$D$50*$D$9*(1+Inputs!$D$48)^4,Inputs!$D$51*H33)</f>
        <v>341373.769984</v>
      </c>
    </row>
    <row r="38" customFormat="false" ht="15" hidden="false" customHeight="true" outlineLevel="0" collapsed="false">
      <c r="B38" s="38" t="s">
        <v>113</v>
      </c>
      <c r="D38" s="43" t="n">
        <f aca="false">((Inputs!$E$28*'Five Year'!$D$47*$D$10/Capital!$D$6)*(1+Inputs!$D$47)^0+Inputs!$E$29*'Five Year'!$D$47*(1+Inputs!$D$48)^0)*$D$8</f>
        <v>384066.3852063</v>
      </c>
      <c r="E38" s="43" t="n">
        <f aca="false">((Inputs!$E$28*'Five Year'!$D$47*$D$10/Capital!$D$6)*(1+Inputs!$D$47)^1+Inputs!$E$29*'Five Year'!$D$47*(1+Inputs!$D$48)^1)*$D$8</f>
        <v>406210.368318678</v>
      </c>
      <c r="F38" s="43" t="n">
        <f aca="false">((Inputs!$E$28*'Five Year'!$D$47*$D$10/Capital!$D$6)*(1+Inputs!$D$47)^2+Inputs!$E$29*'Five Year'!$D$47*(1+Inputs!$D$48)^2)*$D$8</f>
        <v>429655.990417798</v>
      </c>
      <c r="G38" s="43" t="n">
        <f aca="false">((Inputs!$E$28*'Five Year'!$D$47*$D$10/Capital!$D$6)*(1+Inputs!$D$47)^3+Inputs!$E$29*'Five Year'!$D$47*(1+Inputs!$D$48)^3)*$D$8</f>
        <v>454480.539842866</v>
      </c>
      <c r="H38" s="43" t="n">
        <f aca="false">((Inputs!$E$28*'Five Year'!$D$47*$D$10/Capital!$D$6)*(1+Inputs!$D$47)^4+Inputs!$E$29*'Five Year'!$D$47*(1+Inputs!$D$48)^4)*$D$8</f>
        <v>480765.917933438</v>
      </c>
    </row>
    <row r="39" customFormat="false" ht="15" hidden="false" customHeight="true" outlineLevel="0" collapsed="false">
      <c r="B39" s="38" t="s">
        <v>114</v>
      </c>
      <c r="D39" s="43" t="n">
        <f aca="false">Inputs!$E$30*'Five Year'!$D$47*(1+Inputs!$D$48)^0*$D$8</f>
        <v>60000</v>
      </c>
      <c r="E39" s="43" t="n">
        <f aca="false">Inputs!$E$30*'Five Year'!$D$47*(1+Inputs!$D$48)^1*$D$8</f>
        <v>61800</v>
      </c>
      <c r="F39" s="43" t="n">
        <f aca="false">Inputs!$E$30*'Five Year'!$D$47*(1+Inputs!$D$48)^2*$D$8</f>
        <v>63654</v>
      </c>
      <c r="G39" s="43" t="n">
        <f aca="false">Inputs!$E$30*'Five Year'!$D$47*(1+Inputs!$D$48)^3*$D$8</f>
        <v>65563.62</v>
      </c>
      <c r="H39" s="43" t="n">
        <f aca="false">Inputs!$E$30*'Five Year'!$D$47*(1+Inputs!$D$48)^4*$D$8</f>
        <v>67530.5286</v>
      </c>
    </row>
    <row r="40" customFormat="false" ht="15" hidden="false" customHeight="true" outlineLevel="0" collapsed="false">
      <c r="B40" s="37" t="s">
        <v>115</v>
      </c>
      <c r="D40" s="43" t="n">
        <f aca="false">D33-D35-D36-D37-D38-D39</f>
        <v>850856.249047606</v>
      </c>
      <c r="E40" s="43" t="n">
        <f aca="false">E33-E35-E36-E37-E38-E39</f>
        <v>1187771.22245229</v>
      </c>
      <c r="F40" s="43" t="n">
        <f aca="false">F33-F35-F36-F37-F38-F39</f>
        <v>1527971.73337277</v>
      </c>
      <c r="G40" s="43" t="n">
        <f aca="false">G33-G35-G36-G37-G38-G39</f>
        <v>1828750.24439496</v>
      </c>
      <c r="H40" s="43" t="n">
        <f aca="false">H33-H35-H36-H37-H38-H39</f>
        <v>2161687.36689967</v>
      </c>
    </row>
    <row r="41" customFormat="false" ht="15" hidden="false" customHeight="true" outlineLevel="0" collapsed="false">
      <c r="B41" s="38" t="s">
        <v>116</v>
      </c>
      <c r="D41" s="46" t="n">
        <f aca="false">IF(D33=0,0,D40/D33)</f>
        <v>0.409065504349811</v>
      </c>
      <c r="E41" s="46" t="n">
        <f aca="false">IF(E33=0,0,E40/E33)</f>
        <v>0.448933849802057</v>
      </c>
      <c r="F41" s="46" t="n">
        <f aca="false">IF(F33=0,0,F40/F33)</f>
        <v>0.47548580529516</v>
      </c>
      <c r="G41" s="46" t="n">
        <f aca="false">IF(G33=0,0,G40/G33)</f>
        <v>0.492132682385911</v>
      </c>
      <c r="H41" s="46" t="n">
        <f aca="false">IF(H33=0,0,H40/H33)</f>
        <v>0.5065854630837</v>
      </c>
    </row>
    <row r="42" customFormat="false" ht="15" hidden="false" customHeight="true" outlineLevel="0" collapsed="false">
      <c r="B42" s="38" t="s">
        <v>117</v>
      </c>
      <c r="D42" s="43" t="n">
        <f aca="false">D33*Inputs!$D$52</f>
        <v>62400</v>
      </c>
      <c r="E42" s="43" t="n">
        <f aca="false">E33*Inputs!$D$52</f>
        <v>79372.8</v>
      </c>
      <c r="F42" s="43" t="n">
        <f aca="false">F33*Inputs!$D$52</f>
        <v>96404.88</v>
      </c>
      <c r="G42" s="43" t="n">
        <f aca="false">G33*Inputs!$D$52</f>
        <v>111479.0976</v>
      </c>
      <c r="H42" s="43" t="n">
        <f aca="false">H33*Inputs!$D$52</f>
        <v>128015.163744</v>
      </c>
    </row>
    <row r="43" customFormat="false" ht="15" hidden="false" customHeight="true" outlineLevel="0" collapsed="false">
      <c r="B43" s="38" t="s">
        <v>118</v>
      </c>
      <c r="D43" s="43" t="n">
        <f aca="false">'Asset Register'!$G$25+0/5+D42/10</f>
        <v>301737.972724056</v>
      </c>
      <c r="E43" s="43" t="n">
        <f aca="false">'Asset Register'!$G$26+SUM($D42:D42)/5+E42/10</f>
        <v>315915.252724056</v>
      </c>
      <c r="F43" s="43" t="n">
        <f aca="false">'Asset Register'!$G$27+SUM($D42:E42)/5+F42/10</f>
        <v>333493.020724056</v>
      </c>
      <c r="G43" s="43" t="n">
        <f aca="false">'Asset Register'!$G$28+SUM($D42:F42)/5+G42/10</f>
        <v>354281.418484056</v>
      </c>
      <c r="H43" s="43" t="n">
        <f aca="false">'Asset Register'!$G$29+SUM($D42:G42)/5+H42/10</f>
        <v>378230.844618456</v>
      </c>
    </row>
    <row r="44" customFormat="false" ht="15" hidden="false" customHeight="true" outlineLevel="0" collapsed="false">
      <c r="B44" s="38" t="s">
        <v>119</v>
      </c>
      <c r="D44" s="43" t="n">
        <f aca="false">D40-D43</f>
        <v>549118.27632355</v>
      </c>
      <c r="E44" s="43" t="n">
        <f aca="false">E40-E43</f>
        <v>871855.969728235</v>
      </c>
      <c r="F44" s="43" t="n">
        <f aca="false">F40-F43</f>
        <v>1194478.71264872</v>
      </c>
      <c r="G44" s="43" t="n">
        <f aca="false">G40-G43</f>
        <v>1474468.8259109</v>
      </c>
      <c r="H44" s="43" t="n">
        <f aca="false">H40-H43</f>
        <v>1783456.52228121</v>
      </c>
    </row>
    <row r="45" customFormat="false" ht="15" hidden="false" customHeight="true" outlineLevel="0" collapsed="false">
      <c r="B45" s="38" t="s">
        <v>120</v>
      </c>
      <c r="D45" s="43" t="n">
        <f aca="false">MAX(0,D44)*Inputs!$D$54</f>
        <v>164735.482897065</v>
      </c>
      <c r="E45" s="43" t="n">
        <f aca="false">MAX(0,E44)*Inputs!$D$54</f>
        <v>261556.79091847</v>
      </c>
      <c r="F45" s="43" t="n">
        <f aca="false">MAX(0,F44)*Inputs!$D$54</f>
        <v>358343.613794616</v>
      </c>
      <c r="G45" s="43" t="n">
        <f aca="false">MAX(0,G44)*Inputs!$D$54</f>
        <v>442340.647773271</v>
      </c>
      <c r="H45" s="43" t="n">
        <f aca="false">MAX(0,H44)*Inputs!$D$54</f>
        <v>535036.956684363</v>
      </c>
    </row>
    <row r="46" customFormat="false" ht="15" hidden="false" customHeight="true" outlineLevel="0" collapsed="false">
      <c r="B46" s="38" t="s">
        <v>121</v>
      </c>
      <c r="D46" s="43" t="n">
        <f aca="false">D44-D45</f>
        <v>384382.793426485</v>
      </c>
      <c r="E46" s="43" t="n">
        <f aca="false">E44-E45</f>
        <v>610299.178809764</v>
      </c>
      <c r="F46" s="43" t="n">
        <f aca="false">F44-F45</f>
        <v>836135.098854103</v>
      </c>
      <c r="G46" s="43" t="n">
        <f aca="false">G44-G45</f>
        <v>1032128.17813763</v>
      </c>
      <c r="H46" s="43" t="n">
        <f aca="false">H44-H45</f>
        <v>1248419.56559685</v>
      </c>
    </row>
    <row r="47" customFormat="false" ht="15" hidden="false" customHeight="true" outlineLevel="0" collapsed="false">
      <c r="B47" s="38" t="s">
        <v>122</v>
      </c>
      <c r="D47" s="43" t="n">
        <f aca="false">(D33-0)*Inputs!$D$53</f>
        <v>104000</v>
      </c>
      <c r="E47" s="43" t="n">
        <f aca="false">(E33-D33)*Inputs!$D$53</f>
        <v>28288</v>
      </c>
      <c r="F47" s="43" t="n">
        <f aca="false">(F33-E33)*Inputs!$D$53</f>
        <v>28386.8</v>
      </c>
      <c r="G47" s="43" t="n">
        <f aca="false">(G33-F33)*Inputs!$D$53</f>
        <v>25123.696</v>
      </c>
      <c r="H47" s="43" t="n">
        <f aca="false">(H33-G33)*Inputs!$D$53</f>
        <v>27560.1102400001</v>
      </c>
    </row>
    <row r="48" customFormat="false" ht="15" hidden="false" customHeight="true" outlineLevel="0" collapsed="false">
      <c r="B48" s="37" t="s">
        <v>123</v>
      </c>
      <c r="D48" s="43" t="n">
        <f aca="false">D40-D45-D42-D47</f>
        <v>519720.766150541</v>
      </c>
      <c r="E48" s="43" t="n">
        <f aca="false">E40-E45-E42-E47</f>
        <v>818553.63153382</v>
      </c>
      <c r="F48" s="43" t="n">
        <f aca="false">F40-F45-F42-F47</f>
        <v>1044836.43957816</v>
      </c>
      <c r="G48" s="43" t="n">
        <f aca="false">G40-G45-G42-G47</f>
        <v>1249806.80302169</v>
      </c>
      <c r="H48" s="43" t="n">
        <f aca="false">H40-H45-H42-H47</f>
        <v>1471075.1362313</v>
      </c>
    </row>
    <row r="49" customFormat="false" ht="15" hidden="false" customHeight="true" outlineLevel="0" collapsed="false">
      <c r="B49" s="37" t="s">
        <v>124</v>
      </c>
      <c r="D49" s="43" t="n">
        <f aca="false">Capital!$D$39+D48</f>
        <v>1319720.76615054</v>
      </c>
      <c r="E49" s="43" t="n">
        <f aca="false">D49+E48</f>
        <v>2138274.39768436</v>
      </c>
      <c r="F49" s="43" t="n">
        <f aca="false">E49+F48</f>
        <v>3183110.83726252</v>
      </c>
      <c r="G49" s="43" t="n">
        <f aca="false">F49+G48</f>
        <v>4432917.64028421</v>
      </c>
      <c r="H49" s="43" t="n">
        <f aca="false">G49+H48</f>
        <v>5903992.77651551</v>
      </c>
    </row>
    <row r="52" customFormat="false" ht="15" hidden="false" customHeight="true" outlineLevel="0" collapsed="false">
      <c r="B52" s="37" t="s">
        <v>179</v>
      </c>
    </row>
    <row r="53" customFormat="false" ht="15" hidden="false" customHeight="true" outlineLevel="0" collapsed="false">
      <c r="B53" s="38" t="s">
        <v>180</v>
      </c>
      <c r="D53" s="43" t="n">
        <f aca="false">Capital!$D$39+(IF($Q$6=0,0,D33*Regions!G8/$Q$6))-(IF($Q$6=0,0,D34*D32*Regions!G8/$Q$6))-((IF($Q$6=0,0,D33*Regions!G8/$Q$6))*'Five Year'!$D$48)-(Inputs!$D$50*$D$9*(1+Inputs!$D$48)^0/12+IF(Regions!G8&gt;0,(D37-Inputs!$D$50*$D$9*(1+Inputs!$D$48)^0)/COUNTIF(Regions!$G$8:$R$8,"&gt;0"),0))-D38/12-D39/12-D45/12-D47/12-(IF($Q$6=0,0,D33*Regions!G8/$Q$6))*Inputs!$D$52</f>
        <v>732266.510991386</v>
      </c>
      <c r="E53" s="43" t="n">
        <f aca="false">D53+(IF($Q$6=0,0,D33*Regions!H8/$Q$6))-(IF($Q$6=0,0,D34*D32*Regions!H8/$Q$6))-((IF($Q$6=0,0,D33*Regions!H8/$Q$6))*'Five Year'!$D$48)-(Inputs!$D$50*$D$9*(1+Inputs!$D$48)^0/12+IF(Regions!H8&gt;0,(D37-Inputs!$D$50*$D$9*(1+Inputs!$D$48)^0)/COUNTIF(Regions!$G$8:$R$8,"&gt;0"),0))-D38/12-D39/12-D45/12-D47/12-(IF($Q$6=0,0,D33*Regions!H8/$Q$6))*Inputs!$D$52</f>
        <v>664533.021982772</v>
      </c>
      <c r="F53" s="43" t="n">
        <f aca="false">E53+(IF($Q$6=0,0,D33*Regions!I8/$Q$6))-(IF($Q$6=0,0,D34*D32*Regions!I8/$Q$6))-((IF($Q$6=0,0,D33*Regions!I8/$Q$6))*'Five Year'!$D$48)-(Inputs!$D$50*$D$9*(1+Inputs!$D$48)^0/12+IF(Regions!I8&gt;0,(D37-Inputs!$D$50*$D$9*(1+Inputs!$D$48)^0)/COUNTIF(Regions!$G$8:$R$8,"&gt;0"),0))-D38/12-D39/12-D45/12-D47/12-(IF($Q$6=0,0,D33*Regions!I8/$Q$6))*Inputs!$D$52</f>
        <v>730051.796399549</v>
      </c>
      <c r="G53" s="43" t="n">
        <f aca="false">F53+(IF($Q$6=0,0,D33*Regions!J8/$Q$6))-(IF($Q$6=0,0,D34*D32*Regions!J8/$Q$6))-((IF($Q$6=0,0,D33*Regions!J8/$Q$6))*'Five Year'!$D$48)-(Inputs!$D$50*$D$9*(1+Inputs!$D$48)^0/12+IF(Regions!J8&gt;0,(D37-Inputs!$D$50*$D$9*(1+Inputs!$D$48)^0)/COUNTIF(Regions!$G$8:$R$8,"&gt;0"),0))-D38/12-D39/12-D45/12-D47/12-(IF($Q$6=0,0,D33*Regions!J8/$Q$6))*Inputs!$D$52</f>
        <v>795570.570816326</v>
      </c>
      <c r="H53" s="43" t="n">
        <f aca="false">G53+(IF($Q$6=0,0,D33*Regions!K8/$Q$6))-(IF($Q$6=0,0,D34*D32*Regions!K8/$Q$6))-((IF($Q$6=0,0,D33*Regions!K8/$Q$6))*'Five Year'!$D$48)-(Inputs!$D$50*$D$9*(1+Inputs!$D$48)^0/12+IF(Regions!K8&gt;0,(D37-Inputs!$D$50*$D$9*(1+Inputs!$D$48)^0)/COUNTIF(Regions!$G$8:$R$8,"&gt;0"),0))-D38/12-D39/12-D45/12-D47/12-(IF($Q$6=0,0,D33*Regions!K8/$Q$6))*Inputs!$D$52</f>
        <v>861089.345233103</v>
      </c>
      <c r="I53" s="43" t="n">
        <f aca="false">H53+(IF($Q$6=0,0,D33*Regions!L8/$Q$6))-(IF($Q$6=0,0,D34*D32*Regions!L8/$Q$6))-((IF($Q$6=0,0,D33*Regions!L8/$Q$6))*'Five Year'!$D$48)-(Inputs!$D$50*$D$9*(1+Inputs!$D$48)^0/12+IF(Regions!L8&gt;0,(D37-Inputs!$D$50*$D$9*(1+Inputs!$D$48)^0)/COUNTIF(Regions!$G$8:$R$8,"&gt;0"),0))-D38/12-D39/12-D45/12-D47/12-(IF($Q$6=0,0,D33*Regions!L8/$Q$6))*Inputs!$D$52</f>
        <v>926608.119649879</v>
      </c>
      <c r="J53" s="43" t="n">
        <f aca="false">I53+(IF($Q$6=0,0,D33*Regions!M8/$Q$6))-(IF($Q$6=0,0,D34*D32*Regions!M8/$Q$6))-((IF($Q$6=0,0,D33*Regions!M8/$Q$6))*'Five Year'!$D$48)-(Inputs!$D$50*$D$9*(1+Inputs!$D$48)^0/12+IF(Regions!M8&gt;0,(D37-Inputs!$D$50*$D$9*(1+Inputs!$D$48)^0)/COUNTIF(Regions!$G$8:$R$8,"&gt;0"),0))-D38/12-D39/12-D45/12-D47/12-(IF($Q$6=0,0,D33*Regions!M8/$Q$6))*Inputs!$D$52</f>
        <v>992126.894066657</v>
      </c>
      <c r="K53" s="43" t="n">
        <f aca="false">J53+(IF($Q$6=0,0,D33*Regions!N8/$Q$6))-(IF($Q$6=0,0,D34*D32*Regions!N8/$Q$6))-((IF($Q$6=0,0,D33*Regions!N8/$Q$6))*'Five Year'!$D$48)-(Inputs!$D$50*$D$9*(1+Inputs!$D$48)^0/12+IF(Regions!N8&gt;0,(D37-Inputs!$D$50*$D$9*(1+Inputs!$D$48)^0)/COUNTIF(Regions!$G$8:$R$8,"&gt;0"),0))-D38/12-D39/12-D45/12-D47/12-(IF($Q$6=0,0,D33*Regions!N8/$Q$6))*Inputs!$D$52</f>
        <v>1057645.66848343</v>
      </c>
      <c r="L53" s="43" t="n">
        <f aca="false">K53+(IF($Q$6=0,0,D33*Regions!O8/$Q$6))-(IF($Q$6=0,0,D34*D32*Regions!O8/$Q$6))-((IF($Q$6=0,0,D33*Regions!O8/$Q$6))*'Five Year'!$D$48)-(Inputs!$D$50*$D$9*(1+Inputs!$D$48)^0/12+IF(Regions!O8&gt;0,(D37-Inputs!$D$50*$D$9*(1+Inputs!$D$48)^0)/COUNTIF(Regions!$G$8:$R$8,"&gt;0"),0))-D38/12-D39/12-D45/12-D47/12-(IF($Q$6=0,0,D33*Regions!O8/$Q$6))*Inputs!$D$52</f>
        <v>1123164.44290021</v>
      </c>
      <c r="M53" s="43" t="n">
        <f aca="false">L53+(IF($Q$6=0,0,D33*Regions!P8/$Q$6))-(IF($Q$6=0,0,D34*D32*Regions!P8/$Q$6))-((IF($Q$6=0,0,D33*Regions!P8/$Q$6))*'Five Year'!$D$48)-(Inputs!$D$50*$D$9*(1+Inputs!$D$48)^0/12+IF(Regions!P8&gt;0,(D37-Inputs!$D$50*$D$9*(1+Inputs!$D$48)^0)/COUNTIF(Regions!$G$8:$R$8,"&gt;0"),0))-D38/12-D39/12-D45/12-D47/12-(IF($Q$6=0,0,D33*Regions!P8/$Q$6))*Inputs!$D$52</f>
        <v>1188683.21731699</v>
      </c>
      <c r="N53" s="43" t="n">
        <f aca="false">M53+(IF($Q$6=0,0,D33*Regions!Q8/$Q$6))-(IF($Q$6=0,0,D34*D32*Regions!Q8/$Q$6))-((IF($Q$6=0,0,D33*Regions!Q8/$Q$6))*'Five Year'!$D$48)-(Inputs!$D$50*$D$9*(1+Inputs!$D$48)^0/12+IF(Regions!Q8&gt;0,(D37-Inputs!$D$50*$D$9*(1+Inputs!$D$48)^0)/COUNTIF(Regions!$G$8:$R$8,"&gt;0"),0))-D38/12-D39/12-D45/12-D47/12-(IF($Q$6=0,0,D33*Regions!Q8/$Q$6))*Inputs!$D$52</f>
        <v>1254201.99173376</v>
      </c>
      <c r="O53" s="43" t="n">
        <f aca="false">N53+(IF($Q$6=0,0,D33*Regions!R8/$Q$6))-(IF($Q$6=0,0,D34*D32*Regions!R8/$Q$6))-((IF($Q$6=0,0,D33*Regions!R8/$Q$6))*'Five Year'!$D$48)-(Inputs!$D$50*$D$9*(1+Inputs!$D$48)^0/12+IF(Regions!R8&gt;0,(D37-Inputs!$D$50*$D$9*(1+Inputs!$D$48)^0)/COUNTIF(Regions!$G$8:$R$8,"&gt;0"),0))-D38/12-D39/12-D45/12-D47/12-(IF($Q$6=0,0,D33*Regions!R8/$Q$6))*Inputs!$D$52</f>
        <v>1319720.76615054</v>
      </c>
      <c r="Q53" s="43" t="n">
        <f aca="false">O53</f>
        <v>1319720.76615054</v>
      </c>
      <c r="R53" s="43" t="n">
        <f aca="false">MIN(D53:O53)</f>
        <v>664533.021982772</v>
      </c>
    </row>
    <row r="54" customFormat="false" ht="15" hidden="false" customHeight="true" outlineLevel="0" collapsed="false">
      <c r="B54" s="38" t="s">
        <v>181</v>
      </c>
      <c r="D54" s="43" t="n">
        <f aca="false">$Q53+(IF($Q$6=0,0,E33*Regions!G8/$Q$6))-(IF($Q$6=0,0,E34*E32*Regions!G8/$Q$6))-((IF($Q$6=0,0,E33*Regions!G8/$Q$6))*'Five Year'!$D$48)-(Inputs!$D$50*$D$9*(1+Inputs!$D$48)^1/12+IF(Regions!G8&gt;0,(E37-Inputs!$D$50*$D$9*(1+Inputs!$D$48)^1)/COUNTIF(Regions!$G$8:$R$8,"&gt;0"),0))-E38/12-E39/12-E45/12-E47/12-(IF($Q$6=0,0,E33*Regions!G8/$Q$6))*Inputs!$D$52</f>
        <v>1247982.83621411</v>
      </c>
      <c r="E54" s="43" t="n">
        <f aca="false">D54+(IF($Q$6=0,0,E33*Regions!H8/$Q$6))-(IF($Q$6=0,0,E34*E32*Regions!H8/$Q$6))-((IF($Q$6=0,0,E33*Regions!H8/$Q$6))*'Five Year'!$D$48)-(Inputs!$D$50*$D$9*(1+Inputs!$D$48)^1/12+IF(Regions!H8&gt;0,(E37-Inputs!$D$50*$D$9*(1+Inputs!$D$48)^1)/COUNTIF(Regions!$G$8:$R$8,"&gt;0"),0))-E38/12-E39/12-E45/12-E47/12-(IF($Q$6=0,0,E33*Regions!H8/$Q$6))*Inputs!$D$52</f>
        <v>1176244.90627768</v>
      </c>
      <c r="F54" s="43" t="n">
        <f aca="false">E54+(IF($Q$6=0,0,E33*Regions!I8/$Q$6))-(IF($Q$6=0,0,E34*E32*Regions!I8/$Q$6))-((IF($Q$6=0,0,E33*Regions!I8/$Q$6))*'Five Year'!$D$48)-(Inputs!$D$50*$D$9*(1+Inputs!$D$48)^1/12+IF(Regions!I8&gt;0,(E37-Inputs!$D$50*$D$9*(1+Inputs!$D$48)^1)/COUNTIF(Regions!$G$8:$R$8,"&gt;0"),0))-E38/12-E39/12-E45/12-E47/12-(IF($Q$6=0,0,E33*Regions!I8/$Q$6))*Inputs!$D$52</f>
        <v>1272447.85541835</v>
      </c>
      <c r="G54" s="43" t="n">
        <f aca="false">F54+(IF($Q$6=0,0,E33*Regions!J8/$Q$6))-(IF($Q$6=0,0,E34*E32*Regions!J8/$Q$6))-((IF($Q$6=0,0,E33*Regions!J8/$Q$6))*'Five Year'!$D$48)-(Inputs!$D$50*$D$9*(1+Inputs!$D$48)^1/12+IF(Regions!J8&gt;0,(E37-Inputs!$D$50*$D$9*(1+Inputs!$D$48)^1)/COUNTIF(Regions!$G$8:$R$8,"&gt;0"),0))-E38/12-E39/12-E45/12-E47/12-(IF($Q$6=0,0,E33*Regions!J8/$Q$6))*Inputs!$D$52</f>
        <v>1368650.80455902</v>
      </c>
      <c r="H54" s="43" t="n">
        <f aca="false">G54+(IF($Q$6=0,0,E33*Regions!K8/$Q$6))-(IF($Q$6=0,0,E34*E32*Regions!K8/$Q$6))-((IF($Q$6=0,0,E33*Regions!K8/$Q$6))*'Five Year'!$D$48)-(Inputs!$D$50*$D$9*(1+Inputs!$D$48)^1/12+IF(Regions!K8&gt;0,(E37-Inputs!$D$50*$D$9*(1+Inputs!$D$48)^1)/COUNTIF(Regions!$G$8:$R$8,"&gt;0"),0))-E38/12-E39/12-E45/12-E47/12-(IF($Q$6=0,0,E33*Regions!K8/$Q$6))*Inputs!$D$52</f>
        <v>1464853.75369969</v>
      </c>
      <c r="I54" s="43" t="n">
        <f aca="false">H54+(IF($Q$6=0,0,E33*Regions!L8/$Q$6))-(IF($Q$6=0,0,E34*E32*Regions!L8/$Q$6))-((IF($Q$6=0,0,E33*Regions!L8/$Q$6))*'Five Year'!$D$48)-(Inputs!$D$50*$D$9*(1+Inputs!$D$48)^1/12+IF(Regions!L8&gt;0,(E37-Inputs!$D$50*$D$9*(1+Inputs!$D$48)^1)/COUNTIF(Regions!$G$8:$R$8,"&gt;0"),0))-E38/12-E39/12-E45/12-E47/12-(IF($Q$6=0,0,E33*Regions!L8/$Q$6))*Inputs!$D$52</f>
        <v>1561056.70284036</v>
      </c>
      <c r="J54" s="43" t="n">
        <f aca="false">I54+(IF($Q$6=0,0,E33*Regions!M8/$Q$6))-(IF($Q$6=0,0,E34*E32*Regions!M8/$Q$6))-((IF($Q$6=0,0,E33*Regions!M8/$Q$6))*'Five Year'!$D$48)-(Inputs!$D$50*$D$9*(1+Inputs!$D$48)^1/12+IF(Regions!M8&gt;0,(E37-Inputs!$D$50*$D$9*(1+Inputs!$D$48)^1)/COUNTIF(Regions!$G$8:$R$8,"&gt;0"),0))-E38/12-E39/12-E45/12-E47/12-(IF($Q$6=0,0,E33*Regions!M8/$Q$6))*Inputs!$D$52</f>
        <v>1657259.65198102</v>
      </c>
      <c r="K54" s="43" t="n">
        <f aca="false">J54+(IF($Q$6=0,0,E33*Regions!N8/$Q$6))-(IF($Q$6=0,0,E34*E32*Regions!N8/$Q$6))-((IF($Q$6=0,0,E33*Regions!N8/$Q$6))*'Five Year'!$D$48)-(Inputs!$D$50*$D$9*(1+Inputs!$D$48)^1/12+IF(Regions!N8&gt;0,(E37-Inputs!$D$50*$D$9*(1+Inputs!$D$48)^1)/COUNTIF(Regions!$G$8:$R$8,"&gt;0"),0))-E38/12-E39/12-E45/12-E47/12-(IF($Q$6=0,0,E33*Regions!N8/$Q$6))*Inputs!$D$52</f>
        <v>1753462.60112169</v>
      </c>
      <c r="L54" s="43" t="n">
        <f aca="false">K54+(IF($Q$6=0,0,E33*Regions!O8/$Q$6))-(IF($Q$6=0,0,E34*E32*Regions!O8/$Q$6))-((IF($Q$6=0,0,E33*Regions!O8/$Q$6))*'Five Year'!$D$48)-(Inputs!$D$50*$D$9*(1+Inputs!$D$48)^1/12+IF(Regions!O8&gt;0,(E37-Inputs!$D$50*$D$9*(1+Inputs!$D$48)^1)/COUNTIF(Regions!$G$8:$R$8,"&gt;0"),0))-E38/12-E39/12-E45/12-E47/12-(IF($Q$6=0,0,E33*Regions!O8/$Q$6))*Inputs!$D$52</f>
        <v>1849665.55026236</v>
      </c>
      <c r="M54" s="43" t="n">
        <f aca="false">L54+(IF($Q$6=0,0,E33*Regions!P8/$Q$6))-(IF($Q$6=0,0,E34*E32*Regions!P8/$Q$6))-((IF($Q$6=0,0,E33*Regions!P8/$Q$6))*'Five Year'!$D$48)-(Inputs!$D$50*$D$9*(1+Inputs!$D$48)^1/12+IF(Regions!P8&gt;0,(E37-Inputs!$D$50*$D$9*(1+Inputs!$D$48)^1)/COUNTIF(Regions!$G$8:$R$8,"&gt;0"),0))-E38/12-E39/12-E45/12-E47/12-(IF($Q$6=0,0,E33*Regions!P8/$Q$6))*Inputs!$D$52</f>
        <v>1945868.49940303</v>
      </c>
      <c r="N54" s="43" t="n">
        <f aca="false">M54+(IF($Q$6=0,0,E33*Regions!Q8/$Q$6))-(IF($Q$6=0,0,E34*E32*Regions!Q8/$Q$6))-((IF($Q$6=0,0,E33*Regions!Q8/$Q$6))*'Five Year'!$D$48)-(Inputs!$D$50*$D$9*(1+Inputs!$D$48)^1/12+IF(Regions!Q8&gt;0,(E37-Inputs!$D$50*$D$9*(1+Inputs!$D$48)^1)/COUNTIF(Regions!$G$8:$R$8,"&gt;0"),0))-E38/12-E39/12-E45/12-E47/12-(IF($Q$6=0,0,E33*Regions!Q8/$Q$6))*Inputs!$D$52</f>
        <v>2042071.44854369</v>
      </c>
      <c r="O54" s="43" t="n">
        <f aca="false">N54+(IF($Q$6=0,0,E33*Regions!R8/$Q$6))-(IF($Q$6=0,0,E34*E32*Regions!R8/$Q$6))-((IF($Q$6=0,0,E33*Regions!R8/$Q$6))*'Five Year'!$D$48)-(Inputs!$D$50*$D$9*(1+Inputs!$D$48)^1/12+IF(Regions!R8&gt;0,(E37-Inputs!$D$50*$D$9*(1+Inputs!$D$48)^1)/COUNTIF(Regions!$G$8:$R$8,"&gt;0"),0))-E38/12-E39/12-E45/12-E47/12-(IF($Q$6=0,0,E33*Regions!R8/$Q$6))*Inputs!$D$52</f>
        <v>2138274.39768436</v>
      </c>
      <c r="Q54" s="43" t="n">
        <f aca="false">O54</f>
        <v>2138274.39768436</v>
      </c>
      <c r="R54" s="43" t="n">
        <f aca="false">MIN(D54:O54)</f>
        <v>1176244.90627768</v>
      </c>
    </row>
    <row r="55" customFormat="false" ht="15" hidden="false" customHeight="true" outlineLevel="0" collapsed="false">
      <c r="B55" s="38" t="s">
        <v>182</v>
      </c>
      <c r="D55" s="43" t="n">
        <f aca="false">$Q54+(IF($Q$6=0,0,F33*Regions!G8/$Q$6))-(IF($Q$6=0,0,F34*F32*Regions!G8/$Q$6))-((IF($Q$6=0,0,F33*Regions!G8/$Q$6))*'Five Year'!$D$48)-(Inputs!$D$50*$D$9*(1+Inputs!$D$48)^2/12+IF(Regions!G8&gt;0,(F37-Inputs!$D$50*$D$9*(1+Inputs!$D$48)^2)/COUNTIF(Regions!$G$8:$R$8,"&gt;0"),0))-F38/12-F39/12-F45/12-F47/12-(IF($Q$6=0,0,F33*Regions!G8/$Q$6))*Inputs!$D$52</f>
        <v>2056096.86399999</v>
      </c>
      <c r="E55" s="43" t="n">
        <f aca="false">D55+(IF($Q$6=0,0,F33*Regions!H8/$Q$6))-(IF($Q$6=0,0,F34*F32*Regions!H8/$Q$6))-((IF($Q$6=0,0,F33*Regions!H8/$Q$6))*'Five Year'!$D$48)-(Inputs!$D$50*$D$9*(1+Inputs!$D$48)^2/12+IF(Regions!H8&gt;0,(F37-Inputs!$D$50*$D$9*(1+Inputs!$D$48)^2)/COUNTIF(Regions!$G$8:$R$8,"&gt;0"),0))-F38/12-F39/12-F45/12-F47/12-(IF($Q$6=0,0,F33*Regions!H8/$Q$6))*Inputs!$D$52</f>
        <v>1973919.33031563</v>
      </c>
      <c r="F55" s="43" t="n">
        <f aca="false">E55+(IF($Q$6=0,0,F33*Regions!I8/$Q$6))-(IF($Q$6=0,0,F34*F32*Regions!I8/$Q$6))-((IF($Q$6=0,0,F33*Regions!I8/$Q$6))*'Five Year'!$D$48)-(Inputs!$D$50*$D$9*(1+Inputs!$D$48)^2/12+IF(Regions!I8&gt;0,(F37-Inputs!$D$50*$D$9*(1+Inputs!$D$48)^2)/COUNTIF(Regions!$G$8:$R$8,"&gt;0"),0))-F38/12-F39/12-F45/12-F47/12-(IF($Q$6=0,0,F33*Regions!I8/$Q$6))*Inputs!$D$52</f>
        <v>2094838.48101032</v>
      </c>
      <c r="G55" s="43" t="n">
        <f aca="false">F55+(IF($Q$6=0,0,F33*Regions!J8/$Q$6))-(IF($Q$6=0,0,F34*F32*Regions!J8/$Q$6))-((IF($Q$6=0,0,F33*Regions!J8/$Q$6))*'Five Year'!$D$48)-(Inputs!$D$50*$D$9*(1+Inputs!$D$48)^2/12+IF(Regions!J8&gt;0,(F37-Inputs!$D$50*$D$9*(1+Inputs!$D$48)^2)/COUNTIF(Regions!$G$8:$R$8,"&gt;0"),0))-F38/12-F39/12-F45/12-F47/12-(IF($Q$6=0,0,F33*Regions!J8/$Q$6))*Inputs!$D$52</f>
        <v>2215757.63170501</v>
      </c>
      <c r="H55" s="43" t="n">
        <f aca="false">G55+(IF($Q$6=0,0,F33*Regions!K8/$Q$6))-(IF($Q$6=0,0,F34*F32*Regions!K8/$Q$6))-((IF($Q$6=0,0,F33*Regions!K8/$Q$6))*'Five Year'!$D$48)-(Inputs!$D$50*$D$9*(1+Inputs!$D$48)^2/12+IF(Regions!K8&gt;0,(F37-Inputs!$D$50*$D$9*(1+Inputs!$D$48)^2)/COUNTIF(Regions!$G$8:$R$8,"&gt;0"),0))-F38/12-F39/12-F45/12-F47/12-(IF($Q$6=0,0,F33*Regions!K8/$Q$6))*Inputs!$D$52</f>
        <v>2336676.78239969</v>
      </c>
      <c r="I55" s="43" t="n">
        <f aca="false">H55+(IF($Q$6=0,0,F33*Regions!L8/$Q$6))-(IF($Q$6=0,0,F34*F32*Regions!L8/$Q$6))-((IF($Q$6=0,0,F33*Regions!L8/$Q$6))*'Five Year'!$D$48)-(Inputs!$D$50*$D$9*(1+Inputs!$D$48)^2/12+IF(Regions!L8&gt;0,(F37-Inputs!$D$50*$D$9*(1+Inputs!$D$48)^2)/COUNTIF(Regions!$G$8:$R$8,"&gt;0"),0))-F38/12-F39/12-F45/12-F47/12-(IF($Q$6=0,0,F33*Regions!L8/$Q$6))*Inputs!$D$52</f>
        <v>2457595.93309438</v>
      </c>
      <c r="J55" s="43" t="n">
        <f aca="false">I55+(IF($Q$6=0,0,F33*Regions!M8/$Q$6))-(IF($Q$6=0,0,F34*F32*Regions!M8/$Q$6))-((IF($Q$6=0,0,F33*Regions!M8/$Q$6))*'Five Year'!$D$48)-(Inputs!$D$50*$D$9*(1+Inputs!$D$48)^2/12+IF(Regions!M8&gt;0,(F37-Inputs!$D$50*$D$9*(1+Inputs!$D$48)^2)/COUNTIF(Regions!$G$8:$R$8,"&gt;0"),0))-F38/12-F39/12-F45/12-F47/12-(IF($Q$6=0,0,F33*Regions!M8/$Q$6))*Inputs!$D$52</f>
        <v>2578515.08378907</v>
      </c>
      <c r="K55" s="43" t="n">
        <f aca="false">J55+(IF($Q$6=0,0,F33*Regions!N8/$Q$6))-(IF($Q$6=0,0,F34*F32*Regions!N8/$Q$6))-((IF($Q$6=0,0,F33*Regions!N8/$Q$6))*'Five Year'!$D$48)-(Inputs!$D$50*$D$9*(1+Inputs!$D$48)^2/12+IF(Regions!N8&gt;0,(F37-Inputs!$D$50*$D$9*(1+Inputs!$D$48)^2)/COUNTIF(Regions!$G$8:$R$8,"&gt;0"),0))-F38/12-F39/12-F45/12-F47/12-(IF($Q$6=0,0,F33*Regions!N8/$Q$6))*Inputs!$D$52</f>
        <v>2699434.23448376</v>
      </c>
      <c r="L55" s="43" t="n">
        <f aca="false">K55+(IF($Q$6=0,0,F33*Regions!O8/$Q$6))-(IF($Q$6=0,0,F34*F32*Regions!O8/$Q$6))-((IF($Q$6=0,0,F33*Regions!O8/$Q$6))*'Five Year'!$D$48)-(Inputs!$D$50*$D$9*(1+Inputs!$D$48)^2/12+IF(Regions!O8&gt;0,(F37-Inputs!$D$50*$D$9*(1+Inputs!$D$48)^2)/COUNTIF(Regions!$G$8:$R$8,"&gt;0"),0))-F38/12-F39/12-F45/12-F47/12-(IF($Q$6=0,0,F33*Regions!O8/$Q$6))*Inputs!$D$52</f>
        <v>2820353.38517845</v>
      </c>
      <c r="M55" s="43" t="n">
        <f aca="false">L55+(IF($Q$6=0,0,F33*Regions!P8/$Q$6))-(IF($Q$6=0,0,F34*F32*Regions!P8/$Q$6))-((IF($Q$6=0,0,F33*Regions!P8/$Q$6))*'Five Year'!$D$48)-(Inputs!$D$50*$D$9*(1+Inputs!$D$48)^2/12+IF(Regions!P8&gt;0,(F37-Inputs!$D$50*$D$9*(1+Inputs!$D$48)^2)/COUNTIF(Regions!$G$8:$R$8,"&gt;0"),0))-F38/12-F39/12-F45/12-F47/12-(IF($Q$6=0,0,F33*Regions!P8/$Q$6))*Inputs!$D$52</f>
        <v>2941272.53587314</v>
      </c>
      <c r="N55" s="43" t="n">
        <f aca="false">M55+(IF($Q$6=0,0,F33*Regions!Q8/$Q$6))-(IF($Q$6=0,0,F34*F32*Regions!Q8/$Q$6))-((IF($Q$6=0,0,F33*Regions!Q8/$Q$6))*'Five Year'!$D$48)-(Inputs!$D$50*$D$9*(1+Inputs!$D$48)^2/12+IF(Regions!Q8&gt;0,(F37-Inputs!$D$50*$D$9*(1+Inputs!$D$48)^2)/COUNTIF(Regions!$G$8:$R$8,"&gt;0"),0))-F38/12-F39/12-F45/12-F47/12-(IF($Q$6=0,0,F33*Regions!Q8/$Q$6))*Inputs!$D$52</f>
        <v>3062191.68656783</v>
      </c>
      <c r="O55" s="43" t="n">
        <f aca="false">N55+(IF($Q$6=0,0,F33*Regions!R8/$Q$6))-(IF($Q$6=0,0,F34*F32*Regions!R8/$Q$6))-((IF($Q$6=0,0,F33*Regions!R8/$Q$6))*'Five Year'!$D$48)-(Inputs!$D$50*$D$9*(1+Inputs!$D$48)^2/12+IF(Regions!R8&gt;0,(F37-Inputs!$D$50*$D$9*(1+Inputs!$D$48)^2)/COUNTIF(Regions!$G$8:$R$8,"&gt;0"),0))-F38/12-F39/12-F45/12-F47/12-(IF($Q$6=0,0,F33*Regions!R8/$Q$6))*Inputs!$D$52</f>
        <v>3183110.83726252</v>
      </c>
      <c r="Q55" s="43" t="n">
        <f aca="false">O55</f>
        <v>3183110.83726252</v>
      </c>
      <c r="R55" s="43" t="n">
        <f aca="false">MIN(D55:O55)</f>
        <v>1973919.33031563</v>
      </c>
    </row>
    <row r="56" customFormat="false" ht="15" hidden="false" customHeight="true" outlineLevel="0" collapsed="false">
      <c r="B56" s="38" t="s">
        <v>183</v>
      </c>
      <c r="D56" s="43" t="n">
        <f aca="false">$Q55+(IF($Q$6=0,0,G33*Regions!G8/$Q$6))-(IF($Q$6=0,0,G34*G32*Regions!G8/$Q$6))-((IF($Q$6=0,0,G33*Regions!G8/$Q$6))*'Five Year'!$D$48)-(Inputs!$D$50*$D$9*(1+Inputs!$D$48)^3/12+IF(Regions!G8&gt;0,(G37-Inputs!$D$50*$D$9*(1+Inputs!$D$48)^3)/COUNTIF(Regions!$G$8:$R$8,"&gt;0"),0))-G38/12-G39/12-G45/12-G47/12-(IF($Q$6=0,0,G33*Regions!G8/$Q$6))*Inputs!$D$52</f>
        <v>3091712.40362784</v>
      </c>
      <c r="E56" s="43" t="n">
        <f aca="false">D56+(IF($Q$6=0,0,G33*Regions!H8/$Q$6))-(IF($Q$6=0,0,G34*G32*Regions!H8/$Q$6))-((IF($Q$6=0,0,G33*Regions!H8/$Q$6))*'Five Year'!$D$48)-(Inputs!$D$50*$D$9*(1+Inputs!$D$48)^3/12+IF(Regions!H8&gt;0,(G37-Inputs!$D$50*$D$9*(1+Inputs!$D$48)^3)/COUNTIF(Regions!$G$8:$R$8,"&gt;0"),0))-G38/12-G39/12-G45/12-G47/12-(IF($Q$6=0,0,G33*Regions!H8/$Q$6))*Inputs!$D$52</f>
        <v>3000313.96999316</v>
      </c>
      <c r="F56" s="43" t="n">
        <f aca="false">E56+(IF($Q$6=0,0,G33*Regions!I8/$Q$6))-(IF($Q$6=0,0,G34*G32*Regions!I8/$Q$6))-((IF($Q$6=0,0,G33*Regions!I8/$Q$6))*'Five Year'!$D$48)-(Inputs!$D$50*$D$9*(1+Inputs!$D$48)^3/12+IF(Regions!I8&gt;0,(G37-Inputs!$D$50*$D$9*(1+Inputs!$D$48)^3)/COUNTIF(Regions!$G$8:$R$8,"&gt;0"),0))-G38/12-G39/12-G45/12-G47/12-(IF($Q$6=0,0,G33*Regions!I8/$Q$6))*Inputs!$D$52</f>
        <v>3143574.33702227</v>
      </c>
      <c r="G56" s="43" t="n">
        <f aca="false">F56+(IF($Q$6=0,0,G33*Regions!J8/$Q$6))-(IF($Q$6=0,0,G34*G32*Regions!J8/$Q$6))-((IF($Q$6=0,0,G33*Regions!J8/$Q$6))*'Five Year'!$D$48)-(Inputs!$D$50*$D$9*(1+Inputs!$D$48)^3/12+IF(Regions!J8&gt;0,(G37-Inputs!$D$50*$D$9*(1+Inputs!$D$48)^3)/COUNTIF(Regions!$G$8:$R$8,"&gt;0"),0))-G38/12-G39/12-G45/12-G47/12-(IF($Q$6=0,0,G33*Regions!J8/$Q$6))*Inputs!$D$52</f>
        <v>3286834.70405137</v>
      </c>
      <c r="H56" s="43" t="n">
        <f aca="false">G56+(IF($Q$6=0,0,G33*Regions!K8/$Q$6))-(IF($Q$6=0,0,G34*G32*Regions!K8/$Q$6))-((IF($Q$6=0,0,G33*Regions!K8/$Q$6))*'Five Year'!$D$48)-(Inputs!$D$50*$D$9*(1+Inputs!$D$48)^3/12+IF(Regions!K8&gt;0,(G37-Inputs!$D$50*$D$9*(1+Inputs!$D$48)^3)/COUNTIF(Regions!$G$8:$R$8,"&gt;0"),0))-G38/12-G39/12-G45/12-G47/12-(IF($Q$6=0,0,G33*Regions!K8/$Q$6))*Inputs!$D$52</f>
        <v>3430095.07108048</v>
      </c>
      <c r="I56" s="43" t="n">
        <f aca="false">H56+(IF($Q$6=0,0,G33*Regions!L8/$Q$6))-(IF($Q$6=0,0,G34*G32*Regions!L8/$Q$6))-((IF($Q$6=0,0,G33*Regions!L8/$Q$6))*'Five Year'!$D$48)-(Inputs!$D$50*$D$9*(1+Inputs!$D$48)^3/12+IF(Regions!L8&gt;0,(G37-Inputs!$D$50*$D$9*(1+Inputs!$D$48)^3)/COUNTIF(Regions!$G$8:$R$8,"&gt;0"),0))-G38/12-G39/12-G45/12-G47/12-(IF($Q$6=0,0,G33*Regions!L8/$Q$6))*Inputs!$D$52</f>
        <v>3573355.43810958</v>
      </c>
      <c r="J56" s="43" t="n">
        <f aca="false">I56+(IF($Q$6=0,0,G33*Regions!M8/$Q$6))-(IF($Q$6=0,0,G34*G32*Regions!M8/$Q$6))-((IF($Q$6=0,0,G33*Regions!M8/$Q$6))*'Five Year'!$D$48)-(Inputs!$D$50*$D$9*(1+Inputs!$D$48)^3/12+IF(Regions!M8&gt;0,(G37-Inputs!$D$50*$D$9*(1+Inputs!$D$48)^3)/COUNTIF(Regions!$G$8:$R$8,"&gt;0"),0))-G38/12-G39/12-G45/12-G47/12-(IF($Q$6=0,0,G33*Regions!M8/$Q$6))*Inputs!$D$52</f>
        <v>3716615.80513869</v>
      </c>
      <c r="K56" s="43" t="n">
        <f aca="false">J56+(IF($Q$6=0,0,G33*Regions!N8/$Q$6))-(IF($Q$6=0,0,G34*G32*Regions!N8/$Q$6))-((IF($Q$6=0,0,G33*Regions!N8/$Q$6))*'Five Year'!$D$48)-(Inputs!$D$50*$D$9*(1+Inputs!$D$48)^3/12+IF(Regions!N8&gt;0,(G37-Inputs!$D$50*$D$9*(1+Inputs!$D$48)^3)/COUNTIF(Regions!$G$8:$R$8,"&gt;0"),0))-G38/12-G39/12-G45/12-G47/12-(IF($Q$6=0,0,G33*Regions!N8/$Q$6))*Inputs!$D$52</f>
        <v>3859876.17216779</v>
      </c>
      <c r="L56" s="43" t="n">
        <f aca="false">K56+(IF($Q$6=0,0,G33*Regions!O8/$Q$6))-(IF($Q$6=0,0,G34*G32*Regions!O8/$Q$6))-((IF($Q$6=0,0,G33*Regions!O8/$Q$6))*'Five Year'!$D$48)-(Inputs!$D$50*$D$9*(1+Inputs!$D$48)^3/12+IF(Regions!O8&gt;0,(G37-Inputs!$D$50*$D$9*(1+Inputs!$D$48)^3)/COUNTIF(Regions!$G$8:$R$8,"&gt;0"),0))-G38/12-G39/12-G45/12-G47/12-(IF($Q$6=0,0,G33*Regions!O8/$Q$6))*Inputs!$D$52</f>
        <v>4003136.5391969</v>
      </c>
      <c r="M56" s="43" t="n">
        <f aca="false">L56+(IF($Q$6=0,0,G33*Regions!P8/$Q$6))-(IF($Q$6=0,0,G34*G32*Regions!P8/$Q$6))-((IF($Q$6=0,0,G33*Regions!P8/$Q$6))*'Five Year'!$D$48)-(Inputs!$D$50*$D$9*(1+Inputs!$D$48)^3/12+IF(Regions!P8&gt;0,(G37-Inputs!$D$50*$D$9*(1+Inputs!$D$48)^3)/COUNTIF(Regions!$G$8:$R$8,"&gt;0"),0))-G38/12-G39/12-G45/12-G47/12-(IF($Q$6=0,0,G33*Regions!P8/$Q$6))*Inputs!$D$52</f>
        <v>4146396.906226</v>
      </c>
      <c r="N56" s="43" t="n">
        <f aca="false">M56+(IF($Q$6=0,0,G33*Regions!Q8/$Q$6))-(IF($Q$6=0,0,G34*G32*Regions!Q8/$Q$6))-((IF($Q$6=0,0,G33*Regions!Q8/$Q$6))*'Five Year'!$D$48)-(Inputs!$D$50*$D$9*(1+Inputs!$D$48)^3/12+IF(Regions!Q8&gt;0,(G37-Inputs!$D$50*$D$9*(1+Inputs!$D$48)^3)/COUNTIF(Regions!$G$8:$R$8,"&gt;0"),0))-G38/12-G39/12-G45/12-G47/12-(IF($Q$6=0,0,G33*Regions!Q8/$Q$6))*Inputs!$D$52</f>
        <v>4289657.27325511</v>
      </c>
      <c r="O56" s="43" t="n">
        <f aca="false">N56+(IF($Q$6=0,0,G33*Regions!R8/$Q$6))-(IF($Q$6=0,0,G34*G32*Regions!R8/$Q$6))-((IF($Q$6=0,0,G33*Regions!R8/$Q$6))*'Five Year'!$D$48)-(Inputs!$D$50*$D$9*(1+Inputs!$D$48)^3/12+IF(Regions!R8&gt;0,(G37-Inputs!$D$50*$D$9*(1+Inputs!$D$48)^3)/COUNTIF(Regions!$G$8:$R$8,"&gt;0"),0))-G38/12-G39/12-G45/12-G47/12-(IF($Q$6=0,0,G33*Regions!R8/$Q$6))*Inputs!$D$52</f>
        <v>4432917.64028421</v>
      </c>
      <c r="Q56" s="43" t="n">
        <f aca="false">O56</f>
        <v>4432917.64028421</v>
      </c>
      <c r="R56" s="43" t="n">
        <f aca="false">MIN(D56:O56)</f>
        <v>3000313.96999316</v>
      </c>
    </row>
    <row r="57" customFormat="false" ht="15" hidden="false" customHeight="true" outlineLevel="0" collapsed="false">
      <c r="B57" s="38" t="s">
        <v>184</v>
      </c>
      <c r="D57" s="43" t="n">
        <f aca="false">$Q56+(IF($Q$6=0,0,H33*Regions!G8/$Q$6))-(IF($Q$6=0,0,H34*H32*Regions!G8/$Q$6))-((IF($Q$6=0,0,H33*Regions!G8/$Q$6))*'Five Year'!$D$48)-(Inputs!$D$50*$D$9*(1+Inputs!$D$48)^4/12+IF(Regions!G8&gt;0,(H37-Inputs!$D$50*$D$9*(1+Inputs!$D$48)^4)/COUNTIF(Regions!$G$8:$R$8,"&gt;0"),0))-H38/12-H39/12-H45/12-H47/12-(IF($Q$6=0,0,H33*Regions!G8/$Q$6))*Inputs!$D$52</f>
        <v>4330963.94074606</v>
      </c>
      <c r="E57" s="43" t="n">
        <f aca="false">D57+(IF($Q$6=0,0,H33*Regions!H8/$Q$6))-(IF($Q$6=0,0,H34*H32*Regions!H8/$Q$6))-((IF($Q$6=0,0,H33*Regions!H8/$Q$6))*'Five Year'!$D$48)-(Inputs!$D$50*$D$9*(1+Inputs!$D$48)^4/12+IF(Regions!H8&gt;0,(H37-Inputs!$D$50*$D$9*(1+Inputs!$D$48)^4)/COUNTIF(Regions!$G$8:$R$8,"&gt;0"),0))-H38/12-H39/12-H45/12-H47/12-(IF($Q$6=0,0,H33*Regions!H8/$Q$6))*Inputs!$D$52</f>
        <v>4229010.24120791</v>
      </c>
      <c r="F57" s="43" t="n">
        <f aca="false">E57+(IF($Q$6=0,0,H33*Regions!I8/$Q$6))-(IF($Q$6=0,0,H34*H32*Regions!I8/$Q$6))-((IF($Q$6=0,0,H33*Regions!I8/$Q$6))*'Five Year'!$D$48)-(Inputs!$D$50*$D$9*(1+Inputs!$D$48)^4/12+IF(Regions!I8&gt;0,(H37-Inputs!$D$50*$D$9*(1+Inputs!$D$48)^4)/COUNTIF(Regions!$G$8:$R$8,"&gt;0"),0))-H38/12-H39/12-H45/12-H47/12-(IF($Q$6=0,0,H33*Regions!I8/$Q$6))*Inputs!$D$52</f>
        <v>4396508.49473867</v>
      </c>
      <c r="G57" s="43" t="n">
        <f aca="false">F57+(IF($Q$6=0,0,H33*Regions!J8/$Q$6))-(IF($Q$6=0,0,H34*H32*Regions!J8/$Q$6))-((IF($Q$6=0,0,H33*Regions!J8/$Q$6))*'Five Year'!$D$48)-(Inputs!$D$50*$D$9*(1+Inputs!$D$48)^4/12+IF(Regions!J8&gt;0,(H37-Inputs!$D$50*$D$9*(1+Inputs!$D$48)^4)/COUNTIF(Regions!$G$8:$R$8,"&gt;0"),0))-H38/12-H39/12-H45/12-H47/12-(IF($Q$6=0,0,H33*Regions!J8/$Q$6))*Inputs!$D$52</f>
        <v>4564006.74826943</v>
      </c>
      <c r="H57" s="43" t="n">
        <f aca="false">G57+(IF($Q$6=0,0,H33*Regions!K8/$Q$6))-(IF($Q$6=0,0,H34*H32*Regions!K8/$Q$6))-((IF($Q$6=0,0,H33*Regions!K8/$Q$6))*'Five Year'!$D$48)-(Inputs!$D$50*$D$9*(1+Inputs!$D$48)^4/12+IF(Regions!K8&gt;0,(H37-Inputs!$D$50*$D$9*(1+Inputs!$D$48)^4)/COUNTIF(Regions!$G$8:$R$8,"&gt;0"),0))-H38/12-H39/12-H45/12-H47/12-(IF($Q$6=0,0,H33*Regions!K8/$Q$6))*Inputs!$D$52</f>
        <v>4731505.00180019</v>
      </c>
      <c r="I57" s="43" t="n">
        <f aca="false">H57+(IF($Q$6=0,0,H33*Regions!L8/$Q$6))-(IF($Q$6=0,0,H34*H32*Regions!L8/$Q$6))-((IF($Q$6=0,0,H33*Regions!L8/$Q$6))*'Five Year'!$D$48)-(Inputs!$D$50*$D$9*(1+Inputs!$D$48)^4/12+IF(Regions!L8&gt;0,(H37-Inputs!$D$50*$D$9*(1+Inputs!$D$48)^4)/COUNTIF(Regions!$G$8:$R$8,"&gt;0"),0))-H38/12-H39/12-H45/12-H47/12-(IF($Q$6=0,0,H33*Regions!L8/$Q$6))*Inputs!$D$52</f>
        <v>4899003.25533096</v>
      </c>
      <c r="J57" s="43" t="n">
        <f aca="false">I57+(IF($Q$6=0,0,H33*Regions!M8/$Q$6))-(IF($Q$6=0,0,H34*H32*Regions!M8/$Q$6))-((IF($Q$6=0,0,H33*Regions!M8/$Q$6))*'Five Year'!$D$48)-(Inputs!$D$50*$D$9*(1+Inputs!$D$48)^4/12+IF(Regions!M8&gt;0,(H37-Inputs!$D$50*$D$9*(1+Inputs!$D$48)^4)/COUNTIF(Regions!$G$8:$R$8,"&gt;0"),0))-H38/12-H39/12-H45/12-H47/12-(IF($Q$6=0,0,H33*Regions!M8/$Q$6))*Inputs!$D$52</f>
        <v>5066501.50886172</v>
      </c>
      <c r="K57" s="43" t="n">
        <f aca="false">J57+(IF($Q$6=0,0,H33*Regions!N8/$Q$6))-(IF($Q$6=0,0,H34*H32*Regions!N8/$Q$6))-((IF($Q$6=0,0,H33*Regions!N8/$Q$6))*'Five Year'!$D$48)-(Inputs!$D$50*$D$9*(1+Inputs!$D$48)^4/12+IF(Regions!N8&gt;0,(H37-Inputs!$D$50*$D$9*(1+Inputs!$D$48)^4)/COUNTIF(Regions!$G$8:$R$8,"&gt;0"),0))-H38/12-H39/12-H45/12-H47/12-(IF($Q$6=0,0,H33*Regions!N8/$Q$6))*Inputs!$D$52</f>
        <v>5233999.76239248</v>
      </c>
      <c r="L57" s="43" t="n">
        <f aca="false">K57+(IF($Q$6=0,0,H33*Regions!O8/$Q$6))-(IF($Q$6=0,0,H34*H32*Regions!O8/$Q$6))-((IF($Q$6=0,0,H33*Regions!O8/$Q$6))*'Five Year'!$D$48)-(Inputs!$D$50*$D$9*(1+Inputs!$D$48)^4/12+IF(Regions!O8&gt;0,(H37-Inputs!$D$50*$D$9*(1+Inputs!$D$48)^4)/COUNTIF(Regions!$G$8:$R$8,"&gt;0"),0))-H38/12-H39/12-H45/12-H47/12-(IF($Q$6=0,0,H33*Regions!O8/$Q$6))*Inputs!$D$52</f>
        <v>5401498.01592324</v>
      </c>
      <c r="M57" s="43" t="n">
        <f aca="false">L57+(IF($Q$6=0,0,H33*Regions!P8/$Q$6))-(IF($Q$6=0,0,H34*H32*Regions!P8/$Q$6))-((IF($Q$6=0,0,H33*Regions!P8/$Q$6))*'Five Year'!$D$48)-(Inputs!$D$50*$D$9*(1+Inputs!$D$48)^4/12+IF(Regions!P8&gt;0,(H37-Inputs!$D$50*$D$9*(1+Inputs!$D$48)^4)/COUNTIF(Regions!$G$8:$R$8,"&gt;0"),0))-H38/12-H39/12-H45/12-H47/12-(IF($Q$6=0,0,H33*Regions!P8/$Q$6))*Inputs!$D$52</f>
        <v>5568996.269454</v>
      </c>
      <c r="N57" s="43" t="n">
        <f aca="false">M57+(IF($Q$6=0,0,H33*Regions!Q8/$Q$6))-(IF($Q$6=0,0,H34*H32*Regions!Q8/$Q$6))-((IF($Q$6=0,0,H33*Regions!Q8/$Q$6))*'Five Year'!$D$48)-(Inputs!$D$50*$D$9*(1+Inputs!$D$48)^4/12+IF(Regions!Q8&gt;0,(H37-Inputs!$D$50*$D$9*(1+Inputs!$D$48)^4)/COUNTIF(Regions!$G$8:$R$8,"&gt;0"),0))-H38/12-H39/12-H45/12-H47/12-(IF($Q$6=0,0,H33*Regions!Q8/$Q$6))*Inputs!$D$52</f>
        <v>5736494.52298476</v>
      </c>
      <c r="O57" s="43" t="n">
        <f aca="false">N57+(IF($Q$6=0,0,H33*Regions!R8/$Q$6))-(IF($Q$6=0,0,H34*H32*Regions!R8/$Q$6))-((IF($Q$6=0,0,H33*Regions!R8/$Q$6))*'Five Year'!$D$48)-(Inputs!$D$50*$D$9*(1+Inputs!$D$48)^4/12+IF(Regions!R8&gt;0,(H37-Inputs!$D$50*$D$9*(1+Inputs!$D$48)^4)/COUNTIF(Regions!$G$8:$R$8,"&gt;0"),0))-H38/12-H39/12-H45/12-H47/12-(IF($Q$6=0,0,H33*Regions!R8/$Q$6))*Inputs!$D$52</f>
        <v>5903992.77651552</v>
      </c>
      <c r="Q57" s="43" t="n">
        <f aca="false">O57</f>
        <v>5903992.77651552</v>
      </c>
      <c r="R57" s="43" t="n">
        <f aca="false">MIN(D57:O57)</f>
        <v>4229010.24120791</v>
      </c>
    </row>
    <row r="58" customFormat="false" ht="15" hidden="false" customHeight="true" outlineLevel="0" collapsed="false">
      <c r="B58" s="37" t="s">
        <v>185</v>
      </c>
      <c r="D58" s="43" t="n">
        <f aca="false">MIN(R53:R57)</f>
        <v>664533.021982772</v>
      </c>
    </row>
    <row r="70" customFormat="false" ht="15" hidden="false" customHeight="true" outlineLevel="0" collapsed="false">
      <c r="B70" s="37" t="s">
        <v>186</v>
      </c>
    </row>
    <row r="71" customFormat="false" ht="15" hidden="false" customHeight="true" outlineLevel="0" collapsed="false">
      <c r="D71" s="37" t="s">
        <v>99</v>
      </c>
      <c r="E71" s="37" t="s">
        <v>100</v>
      </c>
      <c r="F71" s="37" t="s">
        <v>101</v>
      </c>
      <c r="G71" s="37" t="s">
        <v>102</v>
      </c>
      <c r="H71" s="37" t="s">
        <v>103</v>
      </c>
    </row>
    <row r="72" customFormat="false" ht="15" hidden="false" customHeight="true" outlineLevel="0" collapsed="false">
      <c r="B72" s="38" t="s">
        <v>104</v>
      </c>
      <c r="D72" s="42" t="n">
        <f aca="false">MAX(0,'Five Year'!D$50-$E$6)</f>
        <v>0.3</v>
      </c>
      <c r="E72" s="42" t="n">
        <f aca="false">MAX(0,'Five Year'!E$50-$E$6)</f>
        <v>0.38</v>
      </c>
      <c r="F72" s="42" t="n">
        <f aca="false">MAX(0,'Five Year'!F$50-$E$6)</f>
        <v>0.45</v>
      </c>
      <c r="G72" s="42" t="n">
        <f aca="false">MAX(0,'Five Year'!G$50-$E$6)</f>
        <v>0.5</v>
      </c>
      <c r="H72" s="42" t="n">
        <f aca="false">MAX(0,'Five Year'!H$50-$E$6)</f>
        <v>0.55</v>
      </c>
    </row>
    <row r="73" customFormat="false" ht="15" hidden="false" customHeight="true" outlineLevel="0" collapsed="false">
      <c r="B73" s="38" t="s">
        <v>106</v>
      </c>
      <c r="D73" s="43" t="n">
        <f aca="false">'Five Year'!$D$49*$E$7*(1+Inputs!$D$49)^0</f>
        <v>5850</v>
      </c>
      <c r="E73" s="43" t="n">
        <f aca="false">'Five Year'!$D$49*$E$7*(1+Inputs!$D$49)^1</f>
        <v>6201</v>
      </c>
      <c r="F73" s="43" t="n">
        <f aca="false">'Five Year'!$D$49*$E$7*(1+Inputs!$D$49)^2</f>
        <v>6573.06</v>
      </c>
      <c r="G73" s="43" t="n">
        <f aca="false">'Five Year'!$D$49*$E$7*(1+Inputs!$D$49)^3</f>
        <v>6967.4436</v>
      </c>
      <c r="H73" s="43" t="n">
        <f aca="false">'Five Year'!$D$49*$E$7*(1+Inputs!$D$49)^4</f>
        <v>7385.490216</v>
      </c>
    </row>
    <row r="74" customFormat="false" ht="15" hidden="false" customHeight="true" outlineLevel="0" collapsed="false">
      <c r="B74" s="38" t="s">
        <v>107</v>
      </c>
      <c r="D74" s="44" t="n">
        <f aca="false">Inputs!$D$16*D72</f>
        <v>240</v>
      </c>
      <c r="E74" s="44" t="n">
        <f aca="false">Inputs!$D$16*E72</f>
        <v>304</v>
      </c>
      <c r="F74" s="44" t="n">
        <f aca="false">Inputs!$D$16*F72</f>
        <v>360</v>
      </c>
      <c r="G74" s="44" t="n">
        <f aca="false">Inputs!$D$16*G72</f>
        <v>400</v>
      </c>
      <c r="H74" s="44" t="n">
        <f aca="false">Inputs!$D$16*H72</f>
        <v>440</v>
      </c>
    </row>
    <row r="75" customFormat="false" ht="15" hidden="false" customHeight="true" outlineLevel="0" collapsed="false">
      <c r="B75" s="38" t="s">
        <v>108</v>
      </c>
      <c r="D75" s="43" t="n">
        <f aca="false">D74*D73</f>
        <v>1404000</v>
      </c>
      <c r="E75" s="43" t="n">
        <f aca="false">E74*E73</f>
        <v>1885104</v>
      </c>
      <c r="F75" s="43" t="n">
        <f aca="false">F74*F73</f>
        <v>2366301.6</v>
      </c>
      <c r="G75" s="43" t="n">
        <f aca="false">G74*G73</f>
        <v>2786977.44</v>
      </c>
      <c r="H75" s="43" t="n">
        <f aca="false">H74*H73</f>
        <v>3249615.69504</v>
      </c>
    </row>
    <row r="76" customFormat="false" ht="15" hidden="false" customHeight="true" outlineLevel="0" collapsed="false">
      <c r="B76" s="38" t="s">
        <v>109</v>
      </c>
      <c r="D76" s="45" t="n">
        <f aca="false">((Inputs!$E$41*'Five Year'!$D$46*$E$10/Capital!$E$6)*(1+Inputs!$D$47)^0+Inputs!$E$42*'Five Year'!$D$46*(1+Inputs!$D$48)^0)*$E$8</f>
        <v>1268.7034447522</v>
      </c>
      <c r="E76" s="45" t="n">
        <f aca="false">((Inputs!$E$41*'Five Year'!$D$46*$E$10/Capital!$E$6)*(1+Inputs!$D$47)^1+Inputs!$E$42*'Five Year'!$D$46*(1+Inputs!$D$48)^1)*$E$8</f>
        <v>1320.07565143733</v>
      </c>
      <c r="F76" s="45" t="n">
        <f aca="false">((Inputs!$E$41*'Five Year'!$D$46*$E$10/Capital!$E$6)*(1+Inputs!$D$47)^2+Inputs!$E$42*'Five Year'!$D$46*(1+Inputs!$D$48)^2)*$E$8</f>
        <v>1373.78769052357</v>
      </c>
      <c r="G76" s="45" t="n">
        <f aca="false">((Inputs!$E$41*'Five Year'!$D$46*$E$10/Capital!$E$6)*(1+Inputs!$D$47)^3+Inputs!$E$42*'Five Year'!$D$46*(1+Inputs!$D$48)^3)*$E$8</f>
        <v>1429.95767695498</v>
      </c>
      <c r="H76" s="45" t="n">
        <f aca="false">((Inputs!$E$41*'Five Year'!$D$46*$E$10/Capital!$E$6)*(1+Inputs!$D$47)^4+Inputs!$E$42*'Five Year'!$D$46*(1+Inputs!$D$48)^4)*$E$8</f>
        <v>1488.71014432228</v>
      </c>
    </row>
    <row r="77" customFormat="false" ht="15" hidden="false" customHeight="true" outlineLevel="0" collapsed="false">
      <c r="B77" s="38" t="s">
        <v>110</v>
      </c>
      <c r="D77" s="43" t="n">
        <f aca="false">D76*D74</f>
        <v>304488.826740528</v>
      </c>
      <c r="E77" s="43" t="n">
        <f aca="false">E76*E74</f>
        <v>401302.998036948</v>
      </c>
      <c r="F77" s="43" t="n">
        <f aca="false">F76*F74</f>
        <v>494563.568588485</v>
      </c>
      <c r="G77" s="43" t="n">
        <f aca="false">G76*G74</f>
        <v>571983.070781994</v>
      </c>
      <c r="H77" s="43" t="n">
        <f aca="false">H76*H74</f>
        <v>655032.463501805</v>
      </c>
    </row>
    <row r="78" customFormat="false" ht="15" hidden="false" customHeight="true" outlineLevel="0" collapsed="false">
      <c r="B78" s="38" t="s">
        <v>111</v>
      </c>
      <c r="D78" s="43" t="n">
        <f aca="false">D75*'Five Year'!$D$48</f>
        <v>168480</v>
      </c>
      <c r="E78" s="43" t="n">
        <f aca="false">E75*'Five Year'!$D$48</f>
        <v>226212.48</v>
      </c>
      <c r="F78" s="43" t="n">
        <f aca="false">F75*'Five Year'!$D$48</f>
        <v>283956.192</v>
      </c>
      <c r="G78" s="43" t="n">
        <f aca="false">G75*'Five Year'!$D$48</f>
        <v>334437.2928</v>
      </c>
      <c r="H78" s="43" t="n">
        <f aca="false">H75*'Five Year'!$D$48</f>
        <v>389953.8834048</v>
      </c>
    </row>
    <row r="79" customFormat="false" ht="15" hidden="false" customHeight="true" outlineLevel="0" collapsed="false">
      <c r="B79" s="38" t="s">
        <v>112</v>
      </c>
      <c r="D79" s="43" t="n">
        <f aca="false">MAX(Inputs!$D$50*$E$9*(1+Inputs!$D$48)^0,Inputs!$D$51*D75)</f>
        <v>112320</v>
      </c>
      <c r="E79" s="43" t="n">
        <f aca="false">MAX(Inputs!$D$50*$E$9*(1+Inputs!$D$48)^1,Inputs!$D$51*E75)</f>
        <v>150808.32</v>
      </c>
      <c r="F79" s="43" t="n">
        <f aca="false">MAX(Inputs!$D$50*$E$9*(1+Inputs!$D$48)^2,Inputs!$D$51*F75)</f>
        <v>189304.128</v>
      </c>
      <c r="G79" s="43" t="n">
        <f aca="false">MAX(Inputs!$D$50*$E$9*(1+Inputs!$D$48)^3,Inputs!$D$51*G75)</f>
        <v>222958.1952</v>
      </c>
      <c r="H79" s="43" t="n">
        <f aca="false">MAX(Inputs!$D$50*$E$9*(1+Inputs!$D$48)^4,Inputs!$D$51*H75)</f>
        <v>259969.2556032</v>
      </c>
    </row>
    <row r="80" customFormat="false" ht="15" hidden="false" customHeight="true" outlineLevel="0" collapsed="false">
      <c r="B80" s="38" t="s">
        <v>113</v>
      </c>
      <c r="D80" s="43" t="n">
        <f aca="false">((Inputs!$E$28*'Five Year'!$D$47*$E$10/Capital!$E$6)*(1+Inputs!$D$47)^0+Inputs!$E$29*'Five Year'!$D$47*(1+Inputs!$D$48)^0)*$E$8</f>
        <v>422473.02372693</v>
      </c>
      <c r="E80" s="43" t="n">
        <f aca="false">((Inputs!$E$28*'Five Year'!$D$47*$E$10/Capital!$E$6)*(1+Inputs!$D$47)^1+Inputs!$E$29*'Five Year'!$D$47*(1+Inputs!$D$48)^1)*$E$8</f>
        <v>446831.405150545</v>
      </c>
      <c r="F80" s="43" t="n">
        <f aca="false">((Inputs!$E$28*'Five Year'!$D$47*$E$10/Capital!$E$6)*(1+Inputs!$D$47)^2+Inputs!$E$29*'Five Year'!$D$47*(1+Inputs!$D$48)^2)*$E$8</f>
        <v>472621.589459578</v>
      </c>
      <c r="G80" s="43" t="n">
        <f aca="false">((Inputs!$E$28*'Five Year'!$D$47*$E$10/Capital!$E$6)*(1+Inputs!$D$47)^3+Inputs!$E$29*'Five Year'!$D$47*(1+Inputs!$D$48)^3)*$E$8</f>
        <v>499928.593827153</v>
      </c>
      <c r="H80" s="43" t="n">
        <f aca="false">((Inputs!$E$28*'Five Year'!$D$47*$E$10/Capital!$E$6)*(1+Inputs!$D$47)^4+Inputs!$E$29*'Five Year'!$D$47*(1+Inputs!$D$48)^4)*$E$8</f>
        <v>528842.509726782</v>
      </c>
    </row>
    <row r="81" customFormat="false" ht="15" hidden="false" customHeight="true" outlineLevel="0" collapsed="false">
      <c r="B81" s="38" t="s">
        <v>114</v>
      </c>
      <c r="D81" s="43" t="n">
        <f aca="false">Inputs!$E$30*'Five Year'!$D$47*(1+Inputs!$D$48)^0*$E$8</f>
        <v>66000</v>
      </c>
      <c r="E81" s="43" t="n">
        <f aca="false">Inputs!$E$30*'Five Year'!$D$47*(1+Inputs!$D$48)^1*$E$8</f>
        <v>67980</v>
      </c>
      <c r="F81" s="43" t="n">
        <f aca="false">Inputs!$E$30*'Five Year'!$D$47*(1+Inputs!$D$48)^2*$E$8</f>
        <v>70019.4</v>
      </c>
      <c r="G81" s="43" t="n">
        <f aca="false">Inputs!$E$30*'Five Year'!$D$47*(1+Inputs!$D$48)^3*$E$8</f>
        <v>72119.982</v>
      </c>
      <c r="H81" s="43" t="n">
        <f aca="false">Inputs!$E$30*'Five Year'!$D$47*(1+Inputs!$D$48)^4*$E$8</f>
        <v>74283.58146</v>
      </c>
    </row>
    <row r="82" customFormat="false" ht="15" hidden="false" customHeight="true" outlineLevel="0" collapsed="false">
      <c r="B82" s="37" t="s">
        <v>115</v>
      </c>
      <c r="D82" s="43" t="n">
        <f aca="false">D75-D77-D78-D79-D80-D81</f>
        <v>330238.149532543</v>
      </c>
      <c r="E82" s="43" t="n">
        <f aca="false">E75-E77-E78-E79-E80-E81</f>
        <v>591968.796812506</v>
      </c>
      <c r="F82" s="43" t="n">
        <f aca="false">F75-F77-F78-F79-F80-F81</f>
        <v>855836.721951937</v>
      </c>
      <c r="G82" s="43" t="n">
        <f aca="false">G75-G77-G78-G79-G80-G81</f>
        <v>1085550.30539085</v>
      </c>
      <c r="H82" s="43" t="n">
        <f aca="false">H75-H77-H78-H79-H80-H81</f>
        <v>1341534.00134341</v>
      </c>
    </row>
    <row r="83" customFormat="false" ht="15" hidden="false" customHeight="true" outlineLevel="0" collapsed="false">
      <c r="B83" s="38" t="s">
        <v>116</v>
      </c>
      <c r="D83" s="46" t="n">
        <f aca="false">IF(D75=0,0,D82/D75)</f>
        <v>0.235212357216911</v>
      </c>
      <c r="E83" s="46" t="n">
        <f aca="false">IF(E75=0,0,E82/E75)</f>
        <v>0.314024476534189</v>
      </c>
      <c r="F83" s="46" t="n">
        <f aca="false">IF(F75=0,0,F82/F75)</f>
        <v>0.361676940062052</v>
      </c>
      <c r="G83" s="46" t="n">
        <f aca="false">IF(G75=0,0,G82/G75)</f>
        <v>0.38950810645631</v>
      </c>
      <c r="H83" s="46" t="n">
        <f aca="false">IF(H75=0,0,H82/H75)</f>
        <v>0.412828508734446</v>
      </c>
    </row>
    <row r="84" customFormat="false" ht="15" hidden="false" customHeight="true" outlineLevel="0" collapsed="false">
      <c r="B84" s="38" t="s">
        <v>117</v>
      </c>
      <c r="D84" s="43" t="n">
        <f aca="false">D75*Inputs!$D$52</f>
        <v>42120</v>
      </c>
      <c r="E84" s="43" t="n">
        <f aca="false">E75*Inputs!$D$52</f>
        <v>56553.12</v>
      </c>
      <c r="F84" s="43" t="n">
        <f aca="false">F75*Inputs!$D$52</f>
        <v>70989.048</v>
      </c>
      <c r="G84" s="43" t="n">
        <f aca="false">G75*Inputs!$D$52</f>
        <v>83609.3232</v>
      </c>
      <c r="H84" s="43" t="n">
        <f aca="false">H75*Inputs!$D$52</f>
        <v>97488.4708512</v>
      </c>
    </row>
    <row r="85" customFormat="false" ht="15" hidden="false" customHeight="true" outlineLevel="0" collapsed="false">
      <c r="B85" s="38" t="s">
        <v>118</v>
      </c>
      <c r="D85" s="43" t="n">
        <f aca="false">'Asset Register'!$H$25+0/5+D84/10</f>
        <v>299709.972724056</v>
      </c>
      <c r="E85" s="43" t="n">
        <f aca="false">'Asset Register'!$H$26+SUM($D84:D84)/5+E84/10</f>
        <v>309577.284724056</v>
      </c>
      <c r="F85" s="43" t="n">
        <f aca="false">'Asset Register'!$H$27+SUM($D84:E84)/5+F84/10</f>
        <v>322331.501524056</v>
      </c>
      <c r="G85" s="43" t="n">
        <f aca="false">'Asset Register'!$H$28+SUM($D84:F84)/5+G84/10</f>
        <v>337791.338644056</v>
      </c>
      <c r="H85" s="43" t="n">
        <f aca="false">'Asset Register'!$H$29+SUM($D84:G84)/5+H84/10</f>
        <v>355901.118049176</v>
      </c>
    </row>
    <row r="86" customFormat="false" ht="15" hidden="false" customHeight="true" outlineLevel="0" collapsed="false">
      <c r="B86" s="38" t="s">
        <v>119</v>
      </c>
      <c r="D86" s="43" t="n">
        <f aca="false">D82-D85</f>
        <v>30528.176808487</v>
      </c>
      <c r="E86" s="43" t="n">
        <f aca="false">E82-E85</f>
        <v>282391.51208845</v>
      </c>
      <c r="F86" s="43" t="n">
        <f aca="false">F82-F85</f>
        <v>533505.220427881</v>
      </c>
      <c r="G86" s="43" t="n">
        <f aca="false">G82-G85</f>
        <v>747758.966746798</v>
      </c>
      <c r="H86" s="43" t="n">
        <f aca="false">H82-H85</f>
        <v>985632.883294238</v>
      </c>
    </row>
    <row r="87" customFormat="false" ht="15" hidden="false" customHeight="true" outlineLevel="0" collapsed="false">
      <c r="B87" s="38" t="s">
        <v>120</v>
      </c>
      <c r="D87" s="43" t="n">
        <f aca="false">MAX(0,D86)*Inputs!$D$54</f>
        <v>9158.45304254609</v>
      </c>
      <c r="E87" s="43" t="n">
        <f aca="false">MAX(0,E86)*Inputs!$D$54</f>
        <v>84717.453626535</v>
      </c>
      <c r="F87" s="43" t="n">
        <f aca="false">MAX(0,F86)*Inputs!$D$54</f>
        <v>160051.566128364</v>
      </c>
      <c r="G87" s="43" t="n">
        <f aca="false">MAX(0,G86)*Inputs!$D$54</f>
        <v>224327.690024039</v>
      </c>
      <c r="H87" s="43" t="n">
        <f aca="false">MAX(0,H86)*Inputs!$D$54</f>
        <v>295689.864988271</v>
      </c>
    </row>
    <row r="88" customFormat="false" ht="15" hidden="false" customHeight="true" outlineLevel="0" collapsed="false">
      <c r="B88" s="38" t="s">
        <v>121</v>
      </c>
      <c r="D88" s="43" t="n">
        <f aca="false">D86-D87</f>
        <v>21369.7237659409</v>
      </c>
      <c r="E88" s="43" t="n">
        <f aca="false">E86-E87</f>
        <v>197674.058461915</v>
      </c>
      <c r="F88" s="43" t="n">
        <f aca="false">F86-F87</f>
        <v>373453.654299517</v>
      </c>
      <c r="G88" s="43" t="n">
        <f aca="false">G86-G87</f>
        <v>523431.276722759</v>
      </c>
      <c r="H88" s="43" t="n">
        <f aca="false">H86-H87</f>
        <v>689943.018305967</v>
      </c>
    </row>
    <row r="89" customFormat="false" ht="15" hidden="false" customHeight="true" outlineLevel="0" collapsed="false">
      <c r="B89" s="38" t="s">
        <v>122</v>
      </c>
      <c r="D89" s="43" t="n">
        <f aca="false">(D75-0)*Inputs!$D$53</f>
        <v>70200</v>
      </c>
      <c r="E89" s="43" t="n">
        <f aca="false">(E75-D75)*Inputs!$D$53</f>
        <v>24055.2</v>
      </c>
      <c r="F89" s="43" t="n">
        <f aca="false">(F75-E75)*Inputs!$D$53</f>
        <v>24059.8800000001</v>
      </c>
      <c r="G89" s="43" t="n">
        <f aca="false">(G75-F75)*Inputs!$D$53</f>
        <v>21033.792</v>
      </c>
      <c r="H89" s="43" t="n">
        <f aca="false">(H75-G75)*Inputs!$D$53</f>
        <v>23131.912752</v>
      </c>
    </row>
    <row r="90" customFormat="false" ht="15" hidden="false" customHeight="true" outlineLevel="0" collapsed="false">
      <c r="B90" s="37" t="s">
        <v>123</v>
      </c>
      <c r="D90" s="43" t="n">
        <f aca="false">D82-D87-D84-D89</f>
        <v>208759.696489997</v>
      </c>
      <c r="E90" s="43" t="n">
        <f aca="false">E82-E87-E84-E89</f>
        <v>426643.023185971</v>
      </c>
      <c r="F90" s="43" t="n">
        <f aca="false">F82-F87-F84-F89</f>
        <v>600736.227823573</v>
      </c>
      <c r="G90" s="43" t="n">
        <f aca="false">G82-G87-G84-G89</f>
        <v>756579.500166815</v>
      </c>
      <c r="H90" s="43" t="n">
        <f aca="false">H82-H87-H84-H89</f>
        <v>925223.752751942</v>
      </c>
    </row>
    <row r="91" customFormat="false" ht="15" hidden="false" customHeight="true" outlineLevel="0" collapsed="false">
      <c r="B91" s="37" t="s">
        <v>124</v>
      </c>
      <c r="D91" s="43" t="n">
        <f aca="false">Capital!$E$39+D90</f>
        <v>1008759.69649</v>
      </c>
      <c r="E91" s="43" t="n">
        <f aca="false">D91+E90</f>
        <v>1435402.71967597</v>
      </c>
      <c r="F91" s="43" t="n">
        <f aca="false">E91+F90</f>
        <v>2036138.94749954</v>
      </c>
      <c r="G91" s="43" t="n">
        <f aca="false">F91+G90</f>
        <v>2792718.44766635</v>
      </c>
      <c r="H91" s="43" t="n">
        <f aca="false">G91+H90</f>
        <v>3717942.2004183</v>
      </c>
    </row>
    <row r="94" customFormat="false" ht="15" hidden="false" customHeight="true" outlineLevel="0" collapsed="false">
      <c r="B94" s="37" t="s">
        <v>179</v>
      </c>
    </row>
    <row r="95" customFormat="false" ht="15" hidden="false" customHeight="true" outlineLevel="0" collapsed="false">
      <c r="B95" s="38" t="s">
        <v>180</v>
      </c>
      <c r="D95" s="43" t="n">
        <f aca="false">Capital!$E$39+(IF($Q$6=0,0,D75*Regions!G8/$Q$6))-(IF($Q$6=0,0,D76*D74*Regions!G8/$Q$6))-((IF($Q$6=0,0,D75*Regions!G8/$Q$6))*'Five Year'!$D$48)-(Inputs!$D$50*$E$9*(1+Inputs!$D$48)^0/12+IF(Regions!G8&gt;0,(D79-Inputs!$D$50*$E$9*(1+Inputs!$D$48)^0)/COUNTIF(Regions!$G$8:$R$8,"&gt;0"),0))-D80/12-D81/12-D87/12-D89/12-(IF($Q$6=0,0,D75*Regions!G8/$Q$6))*Inputs!$D$52</f>
        <v>743514.043602543</v>
      </c>
      <c r="E95" s="43" t="n">
        <f aca="false">D95+(IF($Q$6=0,0,D75*Regions!H8/$Q$6))-(IF($Q$6=0,0,D76*D74*Regions!H8/$Q$6))-((IF($Q$6=0,0,D75*Regions!H8/$Q$6))*'Five Year'!$D$48)-(Inputs!$D$50*$E$9*(1+Inputs!$D$48)^0/12+IF(Regions!H8&gt;0,(D79-Inputs!$D$50*$E$9*(1+Inputs!$D$48)^0)/COUNTIF(Regions!$G$8:$R$8,"&gt;0"),0))-D80/12-D81/12-D87/12-D89/12-(IF($Q$6=0,0,D75*Regions!H8/$Q$6))*Inputs!$D$52</f>
        <v>687028.087205087</v>
      </c>
      <c r="F95" s="43" t="n">
        <f aca="false">E95+(IF($Q$6=0,0,D75*Regions!I8/$Q$6))-(IF($Q$6=0,0,D76*D74*Regions!I8/$Q$6))-((IF($Q$6=0,0,D75*Regions!I8/$Q$6))*'Five Year'!$D$48)-(Inputs!$D$50*$E$9*(1+Inputs!$D$48)^0/12+IF(Regions!I8&gt;0,(D79-Inputs!$D$50*$E$9*(1+Inputs!$D$48)^0)/COUNTIF(Regions!$G$8:$R$8,"&gt;0"),0))-D80/12-D81/12-D87/12-D89/12-(IF($Q$6=0,0,D75*Regions!I8/$Q$6))*Inputs!$D$52</f>
        <v>719201.248133578</v>
      </c>
      <c r="G95" s="43" t="n">
        <f aca="false">F95+(IF($Q$6=0,0,D75*Regions!J8/$Q$6))-(IF($Q$6=0,0,D76*D74*Regions!J8/$Q$6))-((IF($Q$6=0,0,D75*Regions!J8/$Q$6))*'Five Year'!$D$48)-(Inputs!$D$50*$E$9*(1+Inputs!$D$48)^0/12+IF(Regions!J8&gt;0,(D79-Inputs!$D$50*$E$9*(1+Inputs!$D$48)^0)/COUNTIF(Regions!$G$8:$R$8,"&gt;0"),0))-D80/12-D81/12-D87/12-D89/12-(IF($Q$6=0,0,D75*Regions!J8/$Q$6))*Inputs!$D$52</f>
        <v>751374.409062069</v>
      </c>
      <c r="H95" s="43" t="n">
        <f aca="false">G95+(IF($Q$6=0,0,D75*Regions!K8/$Q$6))-(IF($Q$6=0,0,D76*D74*Regions!K8/$Q$6))-((IF($Q$6=0,0,D75*Regions!K8/$Q$6))*'Five Year'!$D$48)-(Inputs!$D$50*$E$9*(1+Inputs!$D$48)^0/12+IF(Regions!K8&gt;0,(D79-Inputs!$D$50*$E$9*(1+Inputs!$D$48)^0)/COUNTIF(Regions!$G$8:$R$8,"&gt;0"),0))-D80/12-D81/12-D87/12-D89/12-(IF($Q$6=0,0,D75*Regions!K8/$Q$6))*Inputs!$D$52</f>
        <v>783547.56999056</v>
      </c>
      <c r="I95" s="43" t="n">
        <f aca="false">H95+(IF($Q$6=0,0,D75*Regions!L8/$Q$6))-(IF($Q$6=0,0,D76*D74*Regions!L8/$Q$6))-((IF($Q$6=0,0,D75*Regions!L8/$Q$6))*'Five Year'!$D$48)-(Inputs!$D$50*$E$9*(1+Inputs!$D$48)^0/12+IF(Regions!L8&gt;0,(D79-Inputs!$D$50*$E$9*(1+Inputs!$D$48)^0)/COUNTIF(Regions!$G$8:$R$8,"&gt;0"),0))-D80/12-D81/12-D87/12-D89/12-(IF($Q$6=0,0,D75*Regions!L8/$Q$6))*Inputs!$D$52</f>
        <v>815720.730919051</v>
      </c>
      <c r="J95" s="43" t="n">
        <f aca="false">I95+(IF($Q$6=0,0,D75*Regions!M8/$Q$6))-(IF($Q$6=0,0,D76*D74*Regions!M8/$Q$6))-((IF($Q$6=0,0,D75*Regions!M8/$Q$6))*'Five Year'!$D$48)-(Inputs!$D$50*$E$9*(1+Inputs!$D$48)^0/12+IF(Regions!M8&gt;0,(D79-Inputs!$D$50*$E$9*(1+Inputs!$D$48)^0)/COUNTIF(Regions!$G$8:$R$8,"&gt;0"),0))-D80/12-D81/12-D87/12-D89/12-(IF($Q$6=0,0,D75*Regions!M8/$Q$6))*Inputs!$D$52</f>
        <v>847893.891847542</v>
      </c>
      <c r="K95" s="43" t="n">
        <f aca="false">J95+(IF($Q$6=0,0,D75*Regions!N8/$Q$6))-(IF($Q$6=0,0,D76*D74*Regions!N8/$Q$6))-((IF($Q$6=0,0,D75*Regions!N8/$Q$6))*'Five Year'!$D$48)-(Inputs!$D$50*$E$9*(1+Inputs!$D$48)^0/12+IF(Regions!N8&gt;0,(D79-Inputs!$D$50*$E$9*(1+Inputs!$D$48)^0)/COUNTIF(Regions!$G$8:$R$8,"&gt;0"),0))-D80/12-D81/12-D87/12-D89/12-(IF($Q$6=0,0,D75*Regions!N8/$Q$6))*Inputs!$D$52</f>
        <v>880067.052776033</v>
      </c>
      <c r="L95" s="43" t="n">
        <f aca="false">K95+(IF($Q$6=0,0,D75*Regions!O8/$Q$6))-(IF($Q$6=0,0,D76*D74*Regions!O8/$Q$6))-((IF($Q$6=0,0,D75*Regions!O8/$Q$6))*'Five Year'!$D$48)-(Inputs!$D$50*$E$9*(1+Inputs!$D$48)^0/12+IF(Regions!O8&gt;0,(D79-Inputs!$D$50*$E$9*(1+Inputs!$D$48)^0)/COUNTIF(Regions!$G$8:$R$8,"&gt;0"),0))-D80/12-D81/12-D87/12-D89/12-(IF($Q$6=0,0,D75*Regions!O8/$Q$6))*Inputs!$D$52</f>
        <v>912240.213704524</v>
      </c>
      <c r="M95" s="43" t="n">
        <f aca="false">L95+(IF($Q$6=0,0,D75*Regions!P8/$Q$6))-(IF($Q$6=0,0,D76*D74*Regions!P8/$Q$6))-((IF($Q$6=0,0,D75*Regions!P8/$Q$6))*'Five Year'!$D$48)-(Inputs!$D$50*$E$9*(1+Inputs!$D$48)^0/12+IF(Regions!P8&gt;0,(D79-Inputs!$D$50*$E$9*(1+Inputs!$D$48)^0)/COUNTIF(Regions!$G$8:$R$8,"&gt;0"),0))-D80/12-D81/12-D87/12-D89/12-(IF($Q$6=0,0,D75*Regions!P8/$Q$6))*Inputs!$D$52</f>
        <v>944413.374633015</v>
      </c>
      <c r="N95" s="43" t="n">
        <f aca="false">M95+(IF($Q$6=0,0,D75*Regions!Q8/$Q$6))-(IF($Q$6=0,0,D76*D74*Regions!Q8/$Q$6))-((IF($Q$6=0,0,D75*Regions!Q8/$Q$6))*'Five Year'!$D$48)-(Inputs!$D$50*$E$9*(1+Inputs!$D$48)^0/12+IF(Regions!Q8&gt;0,(D79-Inputs!$D$50*$E$9*(1+Inputs!$D$48)^0)/COUNTIF(Regions!$G$8:$R$8,"&gt;0"),0))-D80/12-D81/12-D87/12-D89/12-(IF($Q$6=0,0,D75*Regions!Q8/$Q$6))*Inputs!$D$52</f>
        <v>976586.535561506</v>
      </c>
      <c r="O95" s="43" t="n">
        <f aca="false">N95+(IF($Q$6=0,0,D75*Regions!R8/$Q$6))-(IF($Q$6=0,0,D76*D74*Regions!R8/$Q$6))-((IF($Q$6=0,0,D75*Regions!R8/$Q$6))*'Five Year'!$D$48)-(Inputs!$D$50*$E$9*(1+Inputs!$D$48)^0/12+IF(Regions!R8&gt;0,(D79-Inputs!$D$50*$E$9*(1+Inputs!$D$48)^0)/COUNTIF(Regions!$G$8:$R$8,"&gt;0"),0))-D80/12-D81/12-D87/12-D89/12-(IF($Q$6=0,0,D75*Regions!R8/$Q$6))*Inputs!$D$52</f>
        <v>1008759.69649</v>
      </c>
      <c r="Q95" s="43" t="n">
        <f aca="false">O95</f>
        <v>1008759.69649</v>
      </c>
      <c r="R95" s="43" t="n">
        <f aca="false">MIN(D95:O95)</f>
        <v>687028.087205087</v>
      </c>
    </row>
    <row r="96" customFormat="false" ht="15" hidden="false" customHeight="true" outlineLevel="0" collapsed="false">
      <c r="B96" s="38" t="s">
        <v>181</v>
      </c>
      <c r="D96" s="43" t="n">
        <f aca="false">$Q95+(IF($Q$6=0,0,E75*Regions!G8/$Q$6))-(IF($Q$6=0,0,E76*E74*Regions!G8/$Q$6))-((IF($Q$6=0,0,E75*Regions!G8/$Q$6))*'Five Year'!$D$48)-(Inputs!$D$50*$E$9*(1+Inputs!$D$48)^1/12+IF(Regions!G8&gt;0,(E79-Inputs!$D$50*$E$9*(1+Inputs!$D$48)^1)/COUNTIF(Regions!$G$8:$R$8,"&gt;0"),0))-E80/12-E81/12-E87/12-E89/12-(IF($Q$6=0,0,E75*Regions!G8/$Q$6))*Inputs!$D$52</f>
        <v>947352.691591907</v>
      </c>
      <c r="E96" s="43" t="n">
        <f aca="false">D96+(IF($Q$6=0,0,E75*Regions!H8/$Q$6))-(IF($Q$6=0,0,E76*E74*Regions!H8/$Q$6))-((IF($Q$6=0,0,E75*Regions!H8/$Q$6))*'Five Year'!$D$48)-(Inputs!$D$50*$E$9*(1+Inputs!$D$48)^1/12+IF(Regions!H8&gt;0,(E79-Inputs!$D$50*$E$9*(1+Inputs!$D$48)^1)/COUNTIF(Regions!$G$8:$R$8,"&gt;0"),0))-E80/12-E81/12-E87/12-E89/12-(IF($Q$6=0,0,E75*Regions!H8/$Q$6))*Inputs!$D$52</f>
        <v>885945.686693817</v>
      </c>
      <c r="F96" s="43" t="n">
        <f aca="false">E96+(IF($Q$6=0,0,E75*Regions!I8/$Q$6))-(IF($Q$6=0,0,E76*E74*Regions!I8/$Q$6))-((IF($Q$6=0,0,E75*Regions!I8/$Q$6))*'Five Year'!$D$48)-(Inputs!$D$50*$E$9*(1+Inputs!$D$48)^1/12+IF(Regions!I8&gt;0,(E79-Inputs!$D$50*$E$9*(1+Inputs!$D$48)^1)/COUNTIF(Regions!$G$8:$R$8,"&gt;0"),0))-E80/12-E81/12-E87/12-E89/12-(IF($Q$6=0,0,E75*Regions!I8/$Q$6))*Inputs!$D$52</f>
        <v>940891.389992032</v>
      </c>
      <c r="G96" s="43" t="n">
        <f aca="false">F96+(IF($Q$6=0,0,E75*Regions!J8/$Q$6))-(IF($Q$6=0,0,E76*E74*Regions!J8/$Q$6))-((IF($Q$6=0,0,E75*Regions!J8/$Q$6))*'Five Year'!$D$48)-(Inputs!$D$50*$E$9*(1+Inputs!$D$48)^1/12+IF(Regions!J8&gt;0,(E79-Inputs!$D$50*$E$9*(1+Inputs!$D$48)^1)/COUNTIF(Regions!$G$8:$R$8,"&gt;0"),0))-E80/12-E81/12-E87/12-E89/12-(IF($Q$6=0,0,E75*Regions!J8/$Q$6))*Inputs!$D$52</f>
        <v>995837.093290247</v>
      </c>
      <c r="H96" s="43" t="n">
        <f aca="false">G96+(IF($Q$6=0,0,E75*Regions!K8/$Q$6))-(IF($Q$6=0,0,E76*E74*Regions!K8/$Q$6))-((IF($Q$6=0,0,E75*Regions!K8/$Q$6))*'Five Year'!$D$48)-(Inputs!$D$50*$E$9*(1+Inputs!$D$48)^1/12+IF(Regions!K8&gt;0,(E79-Inputs!$D$50*$E$9*(1+Inputs!$D$48)^1)/COUNTIF(Regions!$G$8:$R$8,"&gt;0"),0))-E80/12-E81/12-E87/12-E89/12-(IF($Q$6=0,0,E75*Regions!K8/$Q$6))*Inputs!$D$52</f>
        <v>1050782.79658846</v>
      </c>
      <c r="I96" s="43" t="n">
        <f aca="false">H96+(IF($Q$6=0,0,E75*Regions!L8/$Q$6))-(IF($Q$6=0,0,E76*E74*Regions!L8/$Q$6))-((IF($Q$6=0,0,E75*Regions!L8/$Q$6))*'Five Year'!$D$48)-(Inputs!$D$50*$E$9*(1+Inputs!$D$48)^1/12+IF(Regions!L8&gt;0,(E79-Inputs!$D$50*$E$9*(1+Inputs!$D$48)^1)/COUNTIF(Regions!$G$8:$R$8,"&gt;0"),0))-E80/12-E81/12-E87/12-E89/12-(IF($Q$6=0,0,E75*Regions!L8/$Q$6))*Inputs!$D$52</f>
        <v>1105728.49988668</v>
      </c>
      <c r="J96" s="43" t="n">
        <f aca="false">I96+(IF($Q$6=0,0,E75*Regions!M8/$Q$6))-(IF($Q$6=0,0,E76*E74*Regions!M8/$Q$6))-((IF($Q$6=0,0,E75*Regions!M8/$Q$6))*'Five Year'!$D$48)-(Inputs!$D$50*$E$9*(1+Inputs!$D$48)^1/12+IF(Regions!M8&gt;0,(E79-Inputs!$D$50*$E$9*(1+Inputs!$D$48)^1)/COUNTIF(Regions!$G$8:$R$8,"&gt;0"),0))-E80/12-E81/12-E87/12-E89/12-(IF($Q$6=0,0,E75*Regions!M8/$Q$6))*Inputs!$D$52</f>
        <v>1160674.20318489</v>
      </c>
      <c r="K96" s="43" t="n">
        <f aca="false">J96+(IF($Q$6=0,0,E75*Regions!N8/$Q$6))-(IF($Q$6=0,0,E76*E74*Regions!N8/$Q$6))-((IF($Q$6=0,0,E75*Regions!N8/$Q$6))*'Five Year'!$D$48)-(Inputs!$D$50*$E$9*(1+Inputs!$D$48)^1/12+IF(Regions!N8&gt;0,(E79-Inputs!$D$50*$E$9*(1+Inputs!$D$48)^1)/COUNTIF(Regions!$G$8:$R$8,"&gt;0"),0))-E80/12-E81/12-E87/12-E89/12-(IF($Q$6=0,0,E75*Regions!N8/$Q$6))*Inputs!$D$52</f>
        <v>1215619.90648311</v>
      </c>
      <c r="L96" s="43" t="n">
        <f aca="false">K96+(IF($Q$6=0,0,E75*Regions!O8/$Q$6))-(IF($Q$6=0,0,E76*E74*Regions!O8/$Q$6))-((IF($Q$6=0,0,E75*Regions!O8/$Q$6))*'Five Year'!$D$48)-(Inputs!$D$50*$E$9*(1+Inputs!$D$48)^1/12+IF(Regions!O8&gt;0,(E79-Inputs!$D$50*$E$9*(1+Inputs!$D$48)^1)/COUNTIF(Regions!$G$8:$R$8,"&gt;0"),0))-E80/12-E81/12-E87/12-E89/12-(IF($Q$6=0,0,E75*Regions!O8/$Q$6))*Inputs!$D$52</f>
        <v>1270565.60978132</v>
      </c>
      <c r="M96" s="43" t="n">
        <f aca="false">L96+(IF($Q$6=0,0,E75*Regions!P8/$Q$6))-(IF($Q$6=0,0,E76*E74*Regions!P8/$Q$6))-((IF($Q$6=0,0,E75*Regions!P8/$Q$6))*'Five Year'!$D$48)-(Inputs!$D$50*$E$9*(1+Inputs!$D$48)^1/12+IF(Regions!P8&gt;0,(E79-Inputs!$D$50*$E$9*(1+Inputs!$D$48)^1)/COUNTIF(Regions!$G$8:$R$8,"&gt;0"),0))-E80/12-E81/12-E87/12-E89/12-(IF($Q$6=0,0,E75*Regions!P8/$Q$6))*Inputs!$D$52</f>
        <v>1325511.31307954</v>
      </c>
      <c r="N96" s="43" t="n">
        <f aca="false">M96+(IF($Q$6=0,0,E75*Regions!Q8/$Q$6))-(IF($Q$6=0,0,E76*E74*Regions!Q8/$Q$6))-((IF($Q$6=0,0,E75*Regions!Q8/$Q$6))*'Five Year'!$D$48)-(Inputs!$D$50*$E$9*(1+Inputs!$D$48)^1/12+IF(Regions!Q8&gt;0,(E79-Inputs!$D$50*$E$9*(1+Inputs!$D$48)^1)/COUNTIF(Regions!$G$8:$R$8,"&gt;0"),0))-E80/12-E81/12-E87/12-E89/12-(IF($Q$6=0,0,E75*Regions!Q8/$Q$6))*Inputs!$D$52</f>
        <v>1380457.01637775</v>
      </c>
      <c r="O96" s="43" t="n">
        <f aca="false">N96+(IF($Q$6=0,0,E75*Regions!R8/$Q$6))-(IF($Q$6=0,0,E76*E74*Regions!R8/$Q$6))-((IF($Q$6=0,0,E75*Regions!R8/$Q$6))*'Five Year'!$D$48)-(Inputs!$D$50*$E$9*(1+Inputs!$D$48)^1/12+IF(Regions!R8&gt;0,(E79-Inputs!$D$50*$E$9*(1+Inputs!$D$48)^1)/COUNTIF(Regions!$G$8:$R$8,"&gt;0"),0))-E80/12-E81/12-E87/12-E89/12-(IF($Q$6=0,0,E75*Regions!R8/$Q$6))*Inputs!$D$52</f>
        <v>1435402.71967597</v>
      </c>
      <c r="Q96" s="43" t="n">
        <f aca="false">O96</f>
        <v>1435402.71967597</v>
      </c>
      <c r="R96" s="43" t="n">
        <f aca="false">MIN(D96:O96)</f>
        <v>885945.686693817</v>
      </c>
    </row>
    <row r="97" customFormat="false" ht="15" hidden="false" customHeight="true" outlineLevel="0" collapsed="false">
      <c r="B97" s="38" t="s">
        <v>182</v>
      </c>
      <c r="D97" s="43" t="n">
        <f aca="false">$Q96+(IF($Q$6=0,0,F75*Regions!G8/$Q$6))-(IF($Q$6=0,0,F76*F74*Regions!G8/$Q$6))-((IF($Q$6=0,0,F75*Regions!G8/$Q$6))*'Five Year'!$D$48)-(Inputs!$D$50*$E$9*(1+Inputs!$D$48)^2/12+IF(Regions!G8&gt;0,(F79-Inputs!$D$50*$E$9*(1+Inputs!$D$48)^2)/COUNTIF(Regions!$G$8:$R$8,"&gt;0"),0))-F80/12-F81/12-F87/12-F89/12-(IF($Q$6=0,0,F75*Regions!G8/$Q$6))*Inputs!$D$52</f>
        <v>1365115.10004364</v>
      </c>
      <c r="E97" s="43" t="n">
        <f aca="false">D97+(IF($Q$6=0,0,F75*Regions!H8/$Q$6))-(IF($Q$6=0,0,F76*F74*Regions!H8/$Q$6))-((IF($Q$6=0,0,F75*Regions!H8/$Q$6))*'Five Year'!$D$48)-(Inputs!$D$50*$E$9*(1+Inputs!$D$48)^2/12+IF(Regions!H8&gt;0,(F79-Inputs!$D$50*$E$9*(1+Inputs!$D$48)^2)/COUNTIF(Regions!$G$8:$R$8,"&gt;0"),0))-F80/12-F81/12-F87/12-F89/12-(IF($Q$6=0,0,F75*Regions!H8/$Q$6))*Inputs!$D$52</f>
        <v>1294827.48041131</v>
      </c>
      <c r="F97" s="43" t="n">
        <f aca="false">E97+(IF($Q$6=0,0,F75*Regions!I8/$Q$6))-(IF($Q$6=0,0,F76*F74*Regions!I8/$Q$6))-((IF($Q$6=0,0,F75*Regions!I8/$Q$6))*'Five Year'!$D$48)-(Inputs!$D$50*$E$9*(1+Inputs!$D$48)^2/12+IF(Regions!I8&gt;0,(F79-Inputs!$D$50*$E$9*(1+Inputs!$D$48)^2)/COUNTIF(Regions!$G$8:$R$8,"&gt;0"),0))-F80/12-F81/12-F87/12-F89/12-(IF($Q$6=0,0,F75*Regions!I8/$Q$6))*Inputs!$D$52</f>
        <v>1368958.62712013</v>
      </c>
      <c r="G97" s="43" t="n">
        <f aca="false">F97+(IF($Q$6=0,0,F75*Regions!J8/$Q$6))-(IF($Q$6=0,0,F76*F74*Regions!J8/$Q$6))-((IF($Q$6=0,0,F75*Regions!J8/$Q$6))*'Five Year'!$D$48)-(Inputs!$D$50*$E$9*(1+Inputs!$D$48)^2/12+IF(Regions!J8&gt;0,(F79-Inputs!$D$50*$E$9*(1+Inputs!$D$48)^2)/COUNTIF(Regions!$G$8:$R$8,"&gt;0"),0))-F80/12-F81/12-F87/12-F89/12-(IF($Q$6=0,0,F75*Regions!J8/$Q$6))*Inputs!$D$52</f>
        <v>1443089.77382896</v>
      </c>
      <c r="H97" s="43" t="n">
        <f aca="false">G97+(IF($Q$6=0,0,F75*Regions!K8/$Q$6))-(IF($Q$6=0,0,F76*F74*Regions!K8/$Q$6))-((IF($Q$6=0,0,F75*Regions!K8/$Q$6))*'Five Year'!$D$48)-(Inputs!$D$50*$E$9*(1+Inputs!$D$48)^2/12+IF(Regions!K8&gt;0,(F79-Inputs!$D$50*$E$9*(1+Inputs!$D$48)^2)/COUNTIF(Regions!$G$8:$R$8,"&gt;0"),0))-F80/12-F81/12-F87/12-F89/12-(IF($Q$6=0,0,F75*Regions!K8/$Q$6))*Inputs!$D$52</f>
        <v>1517220.92053778</v>
      </c>
      <c r="I97" s="43" t="n">
        <f aca="false">H97+(IF($Q$6=0,0,F75*Regions!L8/$Q$6))-(IF($Q$6=0,0,F76*F74*Regions!L8/$Q$6))-((IF($Q$6=0,0,F75*Regions!L8/$Q$6))*'Five Year'!$D$48)-(Inputs!$D$50*$E$9*(1+Inputs!$D$48)^2/12+IF(Regions!L8&gt;0,(F79-Inputs!$D$50*$E$9*(1+Inputs!$D$48)^2)/COUNTIF(Regions!$G$8:$R$8,"&gt;0"),0))-F80/12-F81/12-F87/12-F89/12-(IF($Q$6=0,0,F75*Regions!L8/$Q$6))*Inputs!$D$52</f>
        <v>1591352.0672466</v>
      </c>
      <c r="J97" s="43" t="n">
        <f aca="false">I97+(IF($Q$6=0,0,F75*Regions!M8/$Q$6))-(IF($Q$6=0,0,F76*F74*Regions!M8/$Q$6))-((IF($Q$6=0,0,F75*Regions!M8/$Q$6))*'Five Year'!$D$48)-(Inputs!$D$50*$E$9*(1+Inputs!$D$48)^2/12+IF(Regions!M8&gt;0,(F79-Inputs!$D$50*$E$9*(1+Inputs!$D$48)^2)/COUNTIF(Regions!$G$8:$R$8,"&gt;0"),0))-F80/12-F81/12-F87/12-F89/12-(IF($Q$6=0,0,F75*Regions!M8/$Q$6))*Inputs!$D$52</f>
        <v>1665483.21395543</v>
      </c>
      <c r="K97" s="43" t="n">
        <f aca="false">J97+(IF($Q$6=0,0,F75*Regions!N8/$Q$6))-(IF($Q$6=0,0,F76*F74*Regions!N8/$Q$6))-((IF($Q$6=0,0,F75*Regions!N8/$Q$6))*'Five Year'!$D$48)-(Inputs!$D$50*$E$9*(1+Inputs!$D$48)^2/12+IF(Regions!N8&gt;0,(F79-Inputs!$D$50*$E$9*(1+Inputs!$D$48)^2)/COUNTIF(Regions!$G$8:$R$8,"&gt;0"),0))-F80/12-F81/12-F87/12-F89/12-(IF($Q$6=0,0,F75*Regions!N8/$Q$6))*Inputs!$D$52</f>
        <v>1739614.36066425</v>
      </c>
      <c r="L97" s="43" t="n">
        <f aca="false">K97+(IF($Q$6=0,0,F75*Regions!O8/$Q$6))-(IF($Q$6=0,0,F76*F74*Regions!O8/$Q$6))-((IF($Q$6=0,0,F75*Regions!O8/$Q$6))*'Five Year'!$D$48)-(Inputs!$D$50*$E$9*(1+Inputs!$D$48)^2/12+IF(Regions!O8&gt;0,(F79-Inputs!$D$50*$E$9*(1+Inputs!$D$48)^2)/COUNTIF(Regions!$G$8:$R$8,"&gt;0"),0))-F80/12-F81/12-F87/12-F89/12-(IF($Q$6=0,0,F75*Regions!O8/$Q$6))*Inputs!$D$52</f>
        <v>1813745.50737307</v>
      </c>
      <c r="M97" s="43" t="n">
        <f aca="false">L97+(IF($Q$6=0,0,F75*Regions!P8/$Q$6))-(IF($Q$6=0,0,F76*F74*Regions!P8/$Q$6))-((IF($Q$6=0,0,F75*Regions!P8/$Q$6))*'Five Year'!$D$48)-(Inputs!$D$50*$E$9*(1+Inputs!$D$48)^2/12+IF(Regions!P8&gt;0,(F79-Inputs!$D$50*$E$9*(1+Inputs!$D$48)^2)/COUNTIF(Regions!$G$8:$R$8,"&gt;0"),0))-F80/12-F81/12-F87/12-F89/12-(IF($Q$6=0,0,F75*Regions!P8/$Q$6))*Inputs!$D$52</f>
        <v>1887876.65408189</v>
      </c>
      <c r="N97" s="43" t="n">
        <f aca="false">M97+(IF($Q$6=0,0,F75*Regions!Q8/$Q$6))-(IF($Q$6=0,0,F76*F74*Regions!Q8/$Q$6))-((IF($Q$6=0,0,F75*Regions!Q8/$Q$6))*'Five Year'!$D$48)-(Inputs!$D$50*$E$9*(1+Inputs!$D$48)^2/12+IF(Regions!Q8&gt;0,(F79-Inputs!$D$50*$E$9*(1+Inputs!$D$48)^2)/COUNTIF(Regions!$G$8:$R$8,"&gt;0"),0))-F80/12-F81/12-F87/12-F89/12-(IF($Q$6=0,0,F75*Regions!Q8/$Q$6))*Inputs!$D$52</f>
        <v>1962007.80079072</v>
      </c>
      <c r="O97" s="43" t="n">
        <f aca="false">N97+(IF($Q$6=0,0,F75*Regions!R8/$Q$6))-(IF($Q$6=0,0,F76*F74*Regions!R8/$Q$6))-((IF($Q$6=0,0,F75*Regions!R8/$Q$6))*'Five Year'!$D$48)-(Inputs!$D$50*$E$9*(1+Inputs!$D$48)^2/12+IF(Regions!R8&gt;0,(F79-Inputs!$D$50*$E$9*(1+Inputs!$D$48)^2)/COUNTIF(Regions!$G$8:$R$8,"&gt;0"),0))-F80/12-F81/12-F87/12-F89/12-(IF($Q$6=0,0,F75*Regions!R8/$Q$6))*Inputs!$D$52</f>
        <v>2036138.94749954</v>
      </c>
      <c r="Q97" s="43" t="n">
        <f aca="false">O97</f>
        <v>2036138.94749954</v>
      </c>
      <c r="R97" s="43" t="n">
        <f aca="false">MIN(D97:O97)</f>
        <v>1294827.48041131</v>
      </c>
    </row>
    <row r="98" customFormat="false" ht="15" hidden="false" customHeight="true" outlineLevel="0" collapsed="false">
      <c r="B98" s="38" t="s">
        <v>183</v>
      </c>
      <c r="D98" s="43" t="n">
        <f aca="false">$Q97+(IF($Q$6=0,0,G75*Regions!G8/$Q$6))-(IF($Q$6=0,0,G76*G74*Regions!G8/$Q$6))-((IF($Q$6=0,0,G75*Regions!G8/$Q$6))*'Five Year'!$D$48)-(Inputs!$D$50*$E$9*(1+Inputs!$D$48)^3/12+IF(Regions!G8&gt;0,(G79-Inputs!$D$50*$E$9*(1+Inputs!$D$48)^3)/COUNTIF(Regions!$G$8:$R$8,"&gt;0"),0))-G80/12-G81/12-G87/12-G89/12-(IF($Q$6=0,0,G75*Regions!G8/$Q$6))*Inputs!$D$52</f>
        <v>1958004.77851194</v>
      </c>
      <c r="E98" s="43" t="n">
        <f aca="false">D98+(IF($Q$6=0,0,G75*Regions!H8/$Q$6))-(IF($Q$6=0,0,G76*G74*Regions!H8/$Q$6))-((IF($Q$6=0,0,G75*Regions!H8/$Q$6))*'Five Year'!$D$48)-(Inputs!$D$50*$E$9*(1+Inputs!$D$48)^3/12+IF(Regions!H8&gt;0,(G79-Inputs!$D$50*$E$9*(1+Inputs!$D$48)^3)/COUNTIF(Regions!$G$8:$R$8,"&gt;0"),0))-G80/12-G81/12-G87/12-G89/12-(IF($Q$6=0,0,G75*Regions!H8/$Q$6))*Inputs!$D$52</f>
        <v>1879870.60952434</v>
      </c>
      <c r="F98" s="43" t="n">
        <f aca="false">E98+(IF($Q$6=0,0,G75*Regions!I8/$Q$6))-(IF($Q$6=0,0,G76*G74*Regions!I8/$Q$6))-((IF($Q$6=0,0,G75*Regions!I8/$Q$6))*'Five Year'!$D$48)-(Inputs!$D$50*$E$9*(1+Inputs!$D$48)^3/12+IF(Regions!I8&gt;0,(G79-Inputs!$D$50*$E$9*(1+Inputs!$D$48)^3)/COUNTIF(Regions!$G$8:$R$8,"&gt;0"),0))-G80/12-G81/12-G87/12-G89/12-(IF($Q$6=0,0,G75*Regions!I8/$Q$6))*Inputs!$D$52</f>
        <v>1971155.39333854</v>
      </c>
      <c r="G98" s="43" t="n">
        <f aca="false">F98+(IF($Q$6=0,0,G75*Regions!J8/$Q$6))-(IF($Q$6=0,0,G76*G74*Regions!J8/$Q$6))-((IF($Q$6=0,0,G75*Regions!J8/$Q$6))*'Five Year'!$D$48)-(Inputs!$D$50*$E$9*(1+Inputs!$D$48)^3/12+IF(Regions!J8&gt;0,(G79-Inputs!$D$50*$E$9*(1+Inputs!$D$48)^3)/COUNTIF(Regions!$G$8:$R$8,"&gt;0"),0))-G80/12-G81/12-G87/12-G89/12-(IF($Q$6=0,0,G75*Regions!J8/$Q$6))*Inputs!$D$52</f>
        <v>2062440.17715274</v>
      </c>
      <c r="H98" s="43" t="n">
        <f aca="false">G98+(IF($Q$6=0,0,G75*Regions!K8/$Q$6))-(IF($Q$6=0,0,G76*G74*Regions!K8/$Q$6))-((IF($Q$6=0,0,G75*Regions!K8/$Q$6))*'Five Year'!$D$48)-(Inputs!$D$50*$E$9*(1+Inputs!$D$48)^3/12+IF(Regions!K8&gt;0,(G79-Inputs!$D$50*$E$9*(1+Inputs!$D$48)^3)/COUNTIF(Regions!$G$8:$R$8,"&gt;0"),0))-G80/12-G81/12-G87/12-G89/12-(IF($Q$6=0,0,G75*Regions!K8/$Q$6))*Inputs!$D$52</f>
        <v>2153724.96096695</v>
      </c>
      <c r="I98" s="43" t="n">
        <f aca="false">H98+(IF($Q$6=0,0,G75*Regions!L8/$Q$6))-(IF($Q$6=0,0,G76*G74*Regions!L8/$Q$6))-((IF($Q$6=0,0,G75*Regions!L8/$Q$6))*'Five Year'!$D$48)-(Inputs!$D$50*$E$9*(1+Inputs!$D$48)^3/12+IF(Regions!L8&gt;0,(G79-Inputs!$D$50*$E$9*(1+Inputs!$D$48)^3)/COUNTIF(Regions!$G$8:$R$8,"&gt;0"),0))-G80/12-G81/12-G87/12-G89/12-(IF($Q$6=0,0,G75*Regions!L8/$Q$6))*Inputs!$D$52</f>
        <v>2245009.74478115</v>
      </c>
      <c r="J98" s="43" t="n">
        <f aca="false">I98+(IF($Q$6=0,0,G75*Regions!M8/$Q$6))-(IF($Q$6=0,0,G76*G74*Regions!M8/$Q$6))-((IF($Q$6=0,0,G75*Regions!M8/$Q$6))*'Five Year'!$D$48)-(Inputs!$D$50*$E$9*(1+Inputs!$D$48)^3/12+IF(Regions!M8&gt;0,(G79-Inputs!$D$50*$E$9*(1+Inputs!$D$48)^3)/COUNTIF(Regions!$G$8:$R$8,"&gt;0"),0))-G80/12-G81/12-G87/12-G89/12-(IF($Q$6=0,0,G75*Regions!M8/$Q$6))*Inputs!$D$52</f>
        <v>2336294.52859535</v>
      </c>
      <c r="K98" s="43" t="n">
        <f aca="false">J98+(IF($Q$6=0,0,G75*Regions!N8/$Q$6))-(IF($Q$6=0,0,G76*G74*Regions!N8/$Q$6))-((IF($Q$6=0,0,G75*Regions!N8/$Q$6))*'Five Year'!$D$48)-(Inputs!$D$50*$E$9*(1+Inputs!$D$48)^3/12+IF(Regions!N8&gt;0,(G79-Inputs!$D$50*$E$9*(1+Inputs!$D$48)^3)/COUNTIF(Regions!$G$8:$R$8,"&gt;0"),0))-G80/12-G81/12-G87/12-G89/12-(IF($Q$6=0,0,G75*Regions!N8/$Q$6))*Inputs!$D$52</f>
        <v>2427579.31240955</v>
      </c>
      <c r="L98" s="43" t="n">
        <f aca="false">K98+(IF($Q$6=0,0,G75*Regions!O8/$Q$6))-(IF($Q$6=0,0,G76*G74*Regions!O8/$Q$6))-((IF($Q$6=0,0,G75*Regions!O8/$Q$6))*'Five Year'!$D$48)-(Inputs!$D$50*$E$9*(1+Inputs!$D$48)^3/12+IF(Regions!O8&gt;0,(G79-Inputs!$D$50*$E$9*(1+Inputs!$D$48)^3)/COUNTIF(Regions!$G$8:$R$8,"&gt;0"),0))-G80/12-G81/12-G87/12-G89/12-(IF($Q$6=0,0,G75*Regions!O8/$Q$6))*Inputs!$D$52</f>
        <v>2518864.09622375</v>
      </c>
      <c r="M98" s="43" t="n">
        <f aca="false">L98+(IF($Q$6=0,0,G75*Regions!P8/$Q$6))-(IF($Q$6=0,0,G76*G74*Regions!P8/$Q$6))-((IF($Q$6=0,0,G75*Regions!P8/$Q$6))*'Five Year'!$D$48)-(Inputs!$D$50*$E$9*(1+Inputs!$D$48)^3/12+IF(Regions!P8&gt;0,(G79-Inputs!$D$50*$E$9*(1+Inputs!$D$48)^3)/COUNTIF(Regions!$G$8:$R$8,"&gt;0"),0))-G80/12-G81/12-G87/12-G89/12-(IF($Q$6=0,0,G75*Regions!P8/$Q$6))*Inputs!$D$52</f>
        <v>2610148.88003795</v>
      </c>
      <c r="N98" s="43" t="n">
        <f aca="false">M98+(IF($Q$6=0,0,G75*Regions!Q8/$Q$6))-(IF($Q$6=0,0,G76*G74*Regions!Q8/$Q$6))-((IF($Q$6=0,0,G75*Regions!Q8/$Q$6))*'Five Year'!$D$48)-(Inputs!$D$50*$E$9*(1+Inputs!$D$48)^3/12+IF(Regions!Q8&gt;0,(G79-Inputs!$D$50*$E$9*(1+Inputs!$D$48)^3)/COUNTIF(Regions!$G$8:$R$8,"&gt;0"),0))-G80/12-G81/12-G87/12-G89/12-(IF($Q$6=0,0,G75*Regions!Q8/$Q$6))*Inputs!$D$52</f>
        <v>2701433.66385215</v>
      </c>
      <c r="O98" s="43" t="n">
        <f aca="false">N98+(IF($Q$6=0,0,G75*Regions!R8/$Q$6))-(IF($Q$6=0,0,G76*G74*Regions!R8/$Q$6))-((IF($Q$6=0,0,G75*Regions!R8/$Q$6))*'Five Year'!$D$48)-(Inputs!$D$50*$E$9*(1+Inputs!$D$48)^3/12+IF(Regions!R8&gt;0,(G79-Inputs!$D$50*$E$9*(1+Inputs!$D$48)^3)/COUNTIF(Regions!$G$8:$R$8,"&gt;0"),0))-G80/12-G81/12-G87/12-G89/12-(IF($Q$6=0,0,G75*Regions!R8/$Q$6))*Inputs!$D$52</f>
        <v>2792718.44766635</v>
      </c>
      <c r="Q98" s="43" t="n">
        <f aca="false">O98</f>
        <v>2792718.44766635</v>
      </c>
      <c r="R98" s="43" t="n">
        <f aca="false">MIN(D98:O98)</f>
        <v>1879870.60952434</v>
      </c>
    </row>
    <row r="99" customFormat="false" ht="15" hidden="false" customHeight="true" outlineLevel="0" collapsed="false">
      <c r="B99" s="38" t="s">
        <v>184</v>
      </c>
      <c r="D99" s="43" t="n">
        <f aca="false">$Q98+(IF($Q$6=0,0,H75*Regions!G8/$Q$6))-(IF($Q$6=0,0,H76*H74*Regions!G8/$Q$6))-((IF($Q$6=0,0,H75*Regions!G8/$Q$6))*'Five Year'!$D$48)-(Inputs!$D$50*$E$9*(1+Inputs!$D$48)^4/12+IF(Regions!G8&gt;0,(H79-Inputs!$D$50*$E$9*(1+Inputs!$D$48)^4)/COUNTIF(Regions!$G$8:$R$8,"&gt;0"),0))-H80/12-H81/12-H87/12-H89/12-(IF($Q$6=0,0,H75*Regions!G8/$Q$6))*Inputs!$D$52</f>
        <v>2705572.29449743</v>
      </c>
      <c r="E99" s="43" t="n">
        <f aca="false">D99+(IF($Q$6=0,0,H75*Regions!H8/$Q$6))-(IF($Q$6=0,0,H76*H74*Regions!H8/$Q$6))-((IF($Q$6=0,0,H75*Regions!H8/$Q$6))*'Five Year'!$D$48)-(Inputs!$D$50*$E$9*(1+Inputs!$D$48)^4/12+IF(Regions!H8&gt;0,(H79-Inputs!$D$50*$E$9*(1+Inputs!$D$48)^4)/COUNTIF(Regions!$G$8:$R$8,"&gt;0"),0))-H80/12-H81/12-H87/12-H89/12-(IF($Q$6=0,0,H75*Regions!H8/$Q$6))*Inputs!$D$52</f>
        <v>2618426.14132851</v>
      </c>
      <c r="F99" s="43" t="n">
        <f aca="false">E99+(IF($Q$6=0,0,H75*Regions!I8/$Q$6))-(IF($Q$6=0,0,H76*H74*Regions!I8/$Q$6))-((IF($Q$6=0,0,H75*Regions!I8/$Q$6))*'Five Year'!$D$48)-(Inputs!$D$50*$E$9*(1+Inputs!$D$48)^4/12+IF(Regions!I8&gt;0,(H79-Inputs!$D$50*$E$9*(1+Inputs!$D$48)^4)/COUNTIF(Regions!$G$8:$R$8,"&gt;0"),0))-H80/12-H81/12-H87/12-H89/12-(IF($Q$6=0,0,H75*Regions!I8/$Q$6))*Inputs!$D$52</f>
        <v>2728377.74723749</v>
      </c>
      <c r="G99" s="43" t="n">
        <f aca="false">F99+(IF($Q$6=0,0,H75*Regions!J8/$Q$6))-(IF($Q$6=0,0,H76*H74*Regions!J8/$Q$6))-((IF($Q$6=0,0,H75*Regions!J8/$Q$6))*'Five Year'!$D$48)-(Inputs!$D$50*$E$9*(1+Inputs!$D$48)^4/12+IF(Regions!J8&gt;0,(H79-Inputs!$D$50*$E$9*(1+Inputs!$D$48)^4)/COUNTIF(Regions!$G$8:$R$8,"&gt;0"),0))-H80/12-H81/12-H87/12-H89/12-(IF($Q$6=0,0,H75*Regions!J8/$Q$6))*Inputs!$D$52</f>
        <v>2838329.35314646</v>
      </c>
      <c r="H99" s="43" t="n">
        <f aca="false">G99+(IF($Q$6=0,0,H75*Regions!K8/$Q$6))-(IF($Q$6=0,0,H76*H74*Regions!K8/$Q$6))-((IF($Q$6=0,0,H75*Regions!K8/$Q$6))*'Five Year'!$D$48)-(Inputs!$D$50*$E$9*(1+Inputs!$D$48)^4/12+IF(Regions!K8&gt;0,(H79-Inputs!$D$50*$E$9*(1+Inputs!$D$48)^4)/COUNTIF(Regions!$G$8:$R$8,"&gt;0"),0))-H80/12-H81/12-H87/12-H89/12-(IF($Q$6=0,0,H75*Regions!K8/$Q$6))*Inputs!$D$52</f>
        <v>2948280.95905544</v>
      </c>
      <c r="I99" s="43" t="n">
        <f aca="false">H99+(IF($Q$6=0,0,H75*Regions!L8/$Q$6))-(IF($Q$6=0,0,H76*H74*Regions!L8/$Q$6))-((IF($Q$6=0,0,H75*Regions!L8/$Q$6))*'Five Year'!$D$48)-(Inputs!$D$50*$E$9*(1+Inputs!$D$48)^4/12+IF(Regions!L8&gt;0,(H79-Inputs!$D$50*$E$9*(1+Inputs!$D$48)^4)/COUNTIF(Regions!$G$8:$R$8,"&gt;0"),0))-H80/12-H81/12-H87/12-H89/12-(IF($Q$6=0,0,H75*Regions!L8/$Q$6))*Inputs!$D$52</f>
        <v>3058232.56496442</v>
      </c>
      <c r="J99" s="43" t="n">
        <f aca="false">I99+(IF($Q$6=0,0,H75*Regions!M8/$Q$6))-(IF($Q$6=0,0,H76*H74*Regions!M8/$Q$6))-((IF($Q$6=0,0,H75*Regions!M8/$Q$6))*'Five Year'!$D$48)-(Inputs!$D$50*$E$9*(1+Inputs!$D$48)^4/12+IF(Regions!M8&gt;0,(H79-Inputs!$D$50*$E$9*(1+Inputs!$D$48)^4)/COUNTIF(Regions!$G$8:$R$8,"&gt;0"),0))-H80/12-H81/12-H87/12-H89/12-(IF($Q$6=0,0,H75*Regions!M8/$Q$6))*Inputs!$D$52</f>
        <v>3168184.1708734</v>
      </c>
      <c r="K99" s="43" t="n">
        <f aca="false">J99+(IF($Q$6=0,0,H75*Regions!N8/$Q$6))-(IF($Q$6=0,0,H76*H74*Regions!N8/$Q$6))-((IF($Q$6=0,0,H75*Regions!N8/$Q$6))*'Five Year'!$D$48)-(Inputs!$D$50*$E$9*(1+Inputs!$D$48)^4/12+IF(Regions!N8&gt;0,(H79-Inputs!$D$50*$E$9*(1+Inputs!$D$48)^4)/COUNTIF(Regions!$G$8:$R$8,"&gt;0"),0))-H80/12-H81/12-H87/12-H89/12-(IF($Q$6=0,0,H75*Regions!N8/$Q$6))*Inputs!$D$52</f>
        <v>3278135.77678238</v>
      </c>
      <c r="L99" s="43" t="n">
        <f aca="false">K99+(IF($Q$6=0,0,H75*Regions!O8/$Q$6))-(IF($Q$6=0,0,H76*H74*Regions!O8/$Q$6))-((IF($Q$6=0,0,H75*Regions!O8/$Q$6))*'Five Year'!$D$48)-(Inputs!$D$50*$E$9*(1+Inputs!$D$48)^4/12+IF(Regions!O8&gt;0,(H79-Inputs!$D$50*$E$9*(1+Inputs!$D$48)^4)/COUNTIF(Regions!$G$8:$R$8,"&gt;0"),0))-H80/12-H81/12-H87/12-H89/12-(IF($Q$6=0,0,H75*Regions!O8/$Q$6))*Inputs!$D$52</f>
        <v>3388087.38269136</v>
      </c>
      <c r="M99" s="43" t="n">
        <f aca="false">L99+(IF($Q$6=0,0,H75*Regions!P8/$Q$6))-(IF($Q$6=0,0,H76*H74*Regions!P8/$Q$6))-((IF($Q$6=0,0,H75*Regions!P8/$Q$6))*'Five Year'!$D$48)-(Inputs!$D$50*$E$9*(1+Inputs!$D$48)^4/12+IF(Regions!P8&gt;0,(H79-Inputs!$D$50*$E$9*(1+Inputs!$D$48)^4)/COUNTIF(Regions!$G$8:$R$8,"&gt;0"),0))-H80/12-H81/12-H87/12-H89/12-(IF($Q$6=0,0,H75*Regions!P8/$Q$6))*Inputs!$D$52</f>
        <v>3498038.98860033</v>
      </c>
      <c r="N99" s="43" t="n">
        <f aca="false">M99+(IF($Q$6=0,0,H75*Regions!Q8/$Q$6))-(IF($Q$6=0,0,H76*H74*Regions!Q8/$Q$6))-((IF($Q$6=0,0,H75*Regions!Q8/$Q$6))*'Five Year'!$D$48)-(Inputs!$D$50*$E$9*(1+Inputs!$D$48)^4/12+IF(Regions!Q8&gt;0,(H79-Inputs!$D$50*$E$9*(1+Inputs!$D$48)^4)/COUNTIF(Regions!$G$8:$R$8,"&gt;0"),0))-H80/12-H81/12-H87/12-H89/12-(IF($Q$6=0,0,H75*Regions!Q8/$Q$6))*Inputs!$D$52</f>
        <v>3607990.59450931</v>
      </c>
      <c r="O99" s="43" t="n">
        <f aca="false">N99+(IF($Q$6=0,0,H75*Regions!R8/$Q$6))-(IF($Q$6=0,0,H76*H74*Regions!R8/$Q$6))-((IF($Q$6=0,0,H75*Regions!R8/$Q$6))*'Five Year'!$D$48)-(Inputs!$D$50*$E$9*(1+Inputs!$D$48)^4/12+IF(Regions!R8&gt;0,(H79-Inputs!$D$50*$E$9*(1+Inputs!$D$48)^4)/COUNTIF(Regions!$G$8:$R$8,"&gt;0"),0))-H80/12-H81/12-H87/12-H89/12-(IF($Q$6=0,0,H75*Regions!R8/$Q$6))*Inputs!$D$52</f>
        <v>3717942.20041829</v>
      </c>
      <c r="Q99" s="43" t="n">
        <f aca="false">O99</f>
        <v>3717942.20041829</v>
      </c>
      <c r="R99" s="43" t="n">
        <f aca="false">MIN(D99:O99)</f>
        <v>2618426.14132851</v>
      </c>
    </row>
    <row r="100" customFormat="false" ht="15" hidden="false" customHeight="true" outlineLevel="0" collapsed="false">
      <c r="B100" s="37" t="s">
        <v>185</v>
      </c>
      <c r="D100" s="43" t="n">
        <f aca="false">MIN(R95:R99)</f>
        <v>687028.087205087</v>
      </c>
    </row>
    <row r="112" customFormat="false" ht="15" hidden="false" customHeight="true" outlineLevel="0" collapsed="false">
      <c r="B112" s="37" t="s">
        <v>187</v>
      </c>
    </row>
    <row r="113" customFormat="false" ht="15" hidden="false" customHeight="true" outlineLevel="0" collapsed="false">
      <c r="D113" s="37" t="s">
        <v>99</v>
      </c>
      <c r="E113" s="37" t="s">
        <v>100</v>
      </c>
      <c r="F113" s="37" t="s">
        <v>101</v>
      </c>
      <c r="G113" s="37" t="s">
        <v>102</v>
      </c>
      <c r="H113" s="37" t="s">
        <v>103</v>
      </c>
    </row>
    <row r="114" customFormat="false" ht="15" hidden="false" customHeight="true" outlineLevel="0" collapsed="false">
      <c r="B114" s="38" t="s">
        <v>104</v>
      </c>
      <c r="D114" s="42" t="n">
        <f aca="false">MAX(0,'Five Year'!D$50-$F$6)</f>
        <v>0.4</v>
      </c>
      <c r="E114" s="42" t="n">
        <f aca="false">MAX(0,'Five Year'!E$50-$F$6)</f>
        <v>0.48</v>
      </c>
      <c r="F114" s="42" t="n">
        <f aca="false">MAX(0,'Five Year'!F$50-$F$6)</f>
        <v>0.55</v>
      </c>
      <c r="G114" s="42" t="n">
        <f aca="false">MAX(0,'Five Year'!G$50-$F$6)</f>
        <v>0.6</v>
      </c>
      <c r="H114" s="42" t="n">
        <f aca="false">MAX(0,'Five Year'!H$50-$F$6)</f>
        <v>0.65</v>
      </c>
    </row>
    <row r="115" customFormat="false" ht="15" hidden="false" customHeight="true" outlineLevel="0" collapsed="false">
      <c r="B115" s="38" t="s">
        <v>106</v>
      </c>
      <c r="D115" s="43" t="n">
        <f aca="false">'Five Year'!$D$49*$F$7*(1+Inputs!$D$49)^0</f>
        <v>6500</v>
      </c>
      <c r="E115" s="43" t="n">
        <f aca="false">'Five Year'!$D$49*$F$7*(1+Inputs!$D$49)^1</f>
        <v>6890</v>
      </c>
      <c r="F115" s="43" t="n">
        <f aca="false">'Five Year'!$D$49*$F$7*(1+Inputs!$D$49)^2</f>
        <v>7303.4</v>
      </c>
      <c r="G115" s="43" t="n">
        <f aca="false">'Five Year'!$D$49*$F$7*(1+Inputs!$D$49)^3</f>
        <v>7741.604</v>
      </c>
      <c r="H115" s="43" t="n">
        <f aca="false">'Five Year'!$D$49*$F$7*(1+Inputs!$D$49)^4</f>
        <v>8206.10024</v>
      </c>
    </row>
    <row r="116" customFormat="false" ht="15" hidden="false" customHeight="true" outlineLevel="0" collapsed="false">
      <c r="B116" s="38" t="s">
        <v>107</v>
      </c>
      <c r="D116" s="44" t="n">
        <f aca="false">Inputs!$D$16*D114</f>
        <v>320</v>
      </c>
      <c r="E116" s="44" t="n">
        <f aca="false">Inputs!$D$16*E114</f>
        <v>384</v>
      </c>
      <c r="F116" s="44" t="n">
        <f aca="false">Inputs!$D$16*F114</f>
        <v>440</v>
      </c>
      <c r="G116" s="44" t="n">
        <f aca="false">Inputs!$D$16*G114</f>
        <v>480</v>
      </c>
      <c r="H116" s="44" t="n">
        <f aca="false">Inputs!$D$16*H114</f>
        <v>520</v>
      </c>
    </row>
    <row r="117" customFormat="false" ht="15" hidden="false" customHeight="true" outlineLevel="0" collapsed="false">
      <c r="B117" s="38" t="s">
        <v>108</v>
      </c>
      <c r="D117" s="43" t="n">
        <f aca="false">D116*D115</f>
        <v>2080000</v>
      </c>
      <c r="E117" s="43" t="n">
        <f aca="false">E116*E115</f>
        <v>2645760</v>
      </c>
      <c r="F117" s="43" t="n">
        <f aca="false">F116*F115</f>
        <v>3213496</v>
      </c>
      <c r="G117" s="43" t="n">
        <f aca="false">G116*G115</f>
        <v>3715969.92</v>
      </c>
      <c r="H117" s="43" t="n">
        <f aca="false">H116*H115</f>
        <v>4267172.1248</v>
      </c>
    </row>
    <row r="118" customFormat="false" ht="15" hidden="false" customHeight="true" outlineLevel="0" collapsed="false">
      <c r="B118" s="38" t="s">
        <v>109</v>
      </c>
      <c r="D118" s="45" t="n">
        <f aca="false">((Inputs!$E$41*'Five Year'!$D$46*$F$10/Capital!$F$6)*(1+Inputs!$D$47)^0+Inputs!$E$42*'Five Year'!$D$46*(1+Inputs!$D$48)^0)*$F$8</f>
        <v>1234.04012154785</v>
      </c>
      <c r="E118" s="45" t="n">
        <f aca="false">((Inputs!$E$41*'Five Year'!$D$46*$F$10/Capital!$F$6)*(1+Inputs!$D$47)^1+Inputs!$E$42*'Five Year'!$D$46*(1+Inputs!$D$48)^1)*$F$8</f>
        <v>1285.58252884072</v>
      </c>
      <c r="F118" s="45" t="n">
        <f aca="false">((Inputs!$E$41*'Five Year'!$D$46*$F$10/Capital!$F$6)*(1+Inputs!$D$47)^2+Inputs!$E$42*'Five Year'!$D$46*(1+Inputs!$D$48)^2)*$F$8</f>
        <v>1339.54248057117</v>
      </c>
      <c r="G118" s="45" t="n">
        <f aca="false">((Inputs!$E$41*'Five Year'!$D$46*$F$10/Capital!$F$6)*(1+Inputs!$D$47)^3+Inputs!$E$42*'Five Year'!$D$46*(1+Inputs!$D$48)^3)*$F$8</f>
        <v>1396.04477940544</v>
      </c>
      <c r="H118" s="45" t="n">
        <f aca="false">((Inputs!$E$41*'Five Year'!$D$46*$F$10/Capital!$F$6)*(1+Inputs!$D$47)^4+Inputs!$E$42*'Five Year'!$D$46*(1+Inputs!$D$48)^4)*$F$8</f>
        <v>1455.22110866976</v>
      </c>
    </row>
    <row r="119" customFormat="false" ht="15" hidden="false" customHeight="true" outlineLevel="0" collapsed="false">
      <c r="B119" s="38" t="s">
        <v>110</v>
      </c>
      <c r="D119" s="43" t="n">
        <f aca="false">D118*D116</f>
        <v>394892.838895313</v>
      </c>
      <c r="E119" s="43" t="n">
        <f aca="false">E118*E116</f>
        <v>493663.691074838</v>
      </c>
      <c r="F119" s="43" t="n">
        <f aca="false">F118*F116</f>
        <v>589398.691451314</v>
      </c>
      <c r="G119" s="43" t="n">
        <f aca="false">G118*G116</f>
        <v>670101.49411461</v>
      </c>
      <c r="H119" s="43" t="n">
        <f aca="false">H118*H116</f>
        <v>756714.976508277</v>
      </c>
    </row>
    <row r="120" customFormat="false" ht="15" hidden="false" customHeight="true" outlineLevel="0" collapsed="false">
      <c r="B120" s="38" t="s">
        <v>111</v>
      </c>
      <c r="D120" s="43" t="n">
        <f aca="false">D117*'Five Year'!$D$48</f>
        <v>249600</v>
      </c>
      <c r="E120" s="43" t="n">
        <f aca="false">E117*'Five Year'!$D$48</f>
        <v>317491.2</v>
      </c>
      <c r="F120" s="43" t="n">
        <f aca="false">F117*'Five Year'!$D$48</f>
        <v>385619.52</v>
      </c>
      <c r="G120" s="43" t="n">
        <f aca="false">G117*'Five Year'!$D$48</f>
        <v>445916.3904</v>
      </c>
      <c r="H120" s="43" t="n">
        <f aca="false">H117*'Five Year'!$D$48</f>
        <v>512060.654976</v>
      </c>
    </row>
    <row r="121" customFormat="false" ht="15" hidden="false" customHeight="true" outlineLevel="0" collapsed="false">
      <c r="B121" s="38" t="s">
        <v>112</v>
      </c>
      <c r="D121" s="43" t="n">
        <f aca="false">MAX(Inputs!$D$50*$F$9*(1+Inputs!$D$48)^0,Inputs!$D$51*D117)</f>
        <v>166400</v>
      </c>
      <c r="E121" s="43" t="n">
        <f aca="false">MAX(Inputs!$D$50*$F$9*(1+Inputs!$D$48)^1,Inputs!$D$51*E117)</f>
        <v>211660.8</v>
      </c>
      <c r="F121" s="43" t="n">
        <f aca="false">MAX(Inputs!$D$50*$F$9*(1+Inputs!$D$48)^2,Inputs!$D$51*F117)</f>
        <v>257079.68</v>
      </c>
      <c r="G121" s="43" t="n">
        <f aca="false">MAX(Inputs!$D$50*$F$9*(1+Inputs!$D$48)^3,Inputs!$D$51*G117)</f>
        <v>297277.5936</v>
      </c>
      <c r="H121" s="43" t="n">
        <f aca="false">MAX(Inputs!$D$50*$F$9*(1+Inputs!$D$48)^4,Inputs!$D$51*H117)</f>
        <v>341373.769984</v>
      </c>
    </row>
    <row r="122" customFormat="false" ht="15" hidden="false" customHeight="true" outlineLevel="0" collapsed="false">
      <c r="B122" s="38" t="s">
        <v>113</v>
      </c>
      <c r="D122" s="43" t="n">
        <f aca="false">((Inputs!$E$28*'Five Year'!$D$47*$F$10/Capital!$F$6)*(1+Inputs!$D$47)^0+Inputs!$E$29*'Five Year'!$D$47*(1+Inputs!$D$48)^0)*$F$8</f>
        <v>454879.66224756</v>
      </c>
      <c r="E122" s="43" t="n">
        <f aca="false">((Inputs!$E$28*'Five Year'!$D$47*$F$10/Capital!$F$6)*(1+Inputs!$D$47)^1+Inputs!$E$29*'Five Year'!$D$47*(1+Inputs!$D$48)^1)*$F$8</f>
        <v>481272.441982413</v>
      </c>
      <c r="F122" s="43" t="n">
        <f aca="false">((Inputs!$E$28*'Five Year'!$D$47*$F$10/Capital!$F$6)*(1+Inputs!$D$47)^2+Inputs!$E$29*'Five Year'!$D$47*(1+Inputs!$D$48)^2)*$F$8</f>
        <v>509221.788501358</v>
      </c>
      <c r="G122" s="43" t="n">
        <f aca="false">((Inputs!$E$28*'Five Year'!$D$47*$F$10/Capital!$F$6)*(1+Inputs!$D$47)^3+Inputs!$E$29*'Five Year'!$D$47*(1+Inputs!$D$48)^3)*$F$8</f>
        <v>538820.285811439</v>
      </c>
      <c r="H122" s="43" t="n">
        <f aca="false">((Inputs!$E$28*'Five Year'!$D$47*$F$10/Capital!$F$6)*(1+Inputs!$D$47)^4+Inputs!$E$29*'Five Year'!$D$47*(1+Inputs!$D$48)^4)*$F$8</f>
        <v>570166.048660126</v>
      </c>
    </row>
    <row r="123" customFormat="false" ht="15" hidden="false" customHeight="true" outlineLevel="0" collapsed="false">
      <c r="B123" s="38" t="s">
        <v>114</v>
      </c>
      <c r="D123" s="43" t="n">
        <f aca="false">Inputs!$E$30*'Five Year'!$D$47*(1+Inputs!$D$48)^0*$F$8</f>
        <v>60000</v>
      </c>
      <c r="E123" s="43" t="n">
        <f aca="false">Inputs!$E$30*'Five Year'!$D$47*(1+Inputs!$D$48)^1*$F$8</f>
        <v>61800</v>
      </c>
      <c r="F123" s="43" t="n">
        <f aca="false">Inputs!$E$30*'Five Year'!$D$47*(1+Inputs!$D$48)^2*$F$8</f>
        <v>63654</v>
      </c>
      <c r="G123" s="43" t="n">
        <f aca="false">Inputs!$E$30*'Five Year'!$D$47*(1+Inputs!$D$48)^3*$F$8</f>
        <v>65563.62</v>
      </c>
      <c r="H123" s="43" t="n">
        <f aca="false">Inputs!$E$30*'Five Year'!$D$47*(1+Inputs!$D$48)^4*$F$8</f>
        <v>67530.5286</v>
      </c>
    </row>
    <row r="124" customFormat="false" ht="15" hidden="false" customHeight="true" outlineLevel="0" collapsed="false">
      <c r="B124" s="37" t="s">
        <v>115</v>
      </c>
      <c r="D124" s="43" t="n">
        <f aca="false">D117-D119-D120-D121-D122-D123</f>
        <v>754227.498857128</v>
      </c>
      <c r="E124" s="43" t="n">
        <f aca="false">E117-E119-E120-E121-E122-E123</f>
        <v>1079871.86694275</v>
      </c>
      <c r="F124" s="43" t="n">
        <f aca="false">F117-F119-F120-F121-F122-F123</f>
        <v>1408522.32004733</v>
      </c>
      <c r="G124" s="43" t="n">
        <f aca="false">G117-G119-G120-G121-G122-G123</f>
        <v>1698290.53607395</v>
      </c>
      <c r="H124" s="43" t="n">
        <f aca="false">H117-H119-H120-H121-H122-H123</f>
        <v>2019326.1460716</v>
      </c>
    </row>
    <row r="125" customFormat="false" ht="15" hidden="false" customHeight="true" outlineLevel="0" collapsed="false">
      <c r="B125" s="38" t="s">
        <v>116</v>
      </c>
      <c r="D125" s="46" t="n">
        <f aca="false">IF(D117=0,0,D124/D117)</f>
        <v>0.362609374450542</v>
      </c>
      <c r="E125" s="46" t="n">
        <f aca="false">IF(E117=0,0,E124/E117)</f>
        <v>0.408151860691351</v>
      </c>
      <c r="F125" s="46" t="n">
        <f aca="false">IF(F117=0,0,F124/F117)</f>
        <v>0.438314633049902</v>
      </c>
      <c r="G125" s="46" t="n">
        <f aca="false">IF(G117=0,0,G124/G117)</f>
        <v>0.457024834063767</v>
      </c>
      <c r="H125" s="46" t="n">
        <f aca="false">IF(H117=0,0,H124/H117)</f>
        <v>0.47322350423496</v>
      </c>
    </row>
    <row r="126" customFormat="false" ht="15" hidden="false" customHeight="true" outlineLevel="0" collapsed="false">
      <c r="B126" s="38" t="s">
        <v>117</v>
      </c>
      <c r="D126" s="43" t="n">
        <f aca="false">D117*Inputs!$D$52</f>
        <v>62400</v>
      </c>
      <c r="E126" s="43" t="n">
        <f aca="false">E117*Inputs!$D$52</f>
        <v>79372.8</v>
      </c>
      <c r="F126" s="43" t="n">
        <f aca="false">F117*Inputs!$D$52</f>
        <v>96404.88</v>
      </c>
      <c r="G126" s="43" t="n">
        <f aca="false">G117*Inputs!$D$52</f>
        <v>111479.0976</v>
      </c>
      <c r="H126" s="43" t="n">
        <f aca="false">H117*Inputs!$D$52</f>
        <v>128015.163744</v>
      </c>
    </row>
    <row r="127" customFormat="false" ht="15" hidden="false" customHeight="true" outlineLevel="0" collapsed="false">
      <c r="B127" s="38" t="s">
        <v>118</v>
      </c>
      <c r="D127" s="43" t="n">
        <f aca="false">'Asset Register'!$I$25+0/5+D126/10</f>
        <v>331492.574182815</v>
      </c>
      <c r="E127" s="43" t="n">
        <f aca="false">'Asset Register'!$I$26+SUM($D126:D126)/5+E126/10</f>
        <v>345669.854182815</v>
      </c>
      <c r="F127" s="43" t="n">
        <f aca="false">'Asset Register'!$I$27+SUM($D126:E126)/5+F126/10</f>
        <v>363247.622182815</v>
      </c>
      <c r="G127" s="43" t="n">
        <f aca="false">'Asset Register'!$I$28+SUM($D126:F126)/5+G126/10</f>
        <v>384036.019942815</v>
      </c>
      <c r="H127" s="43" t="n">
        <f aca="false">'Asset Register'!$I$29+SUM($D126:G126)/5+H126/10</f>
        <v>407985.446077215</v>
      </c>
    </row>
    <row r="128" customFormat="false" ht="15" hidden="false" customHeight="true" outlineLevel="0" collapsed="false">
      <c r="B128" s="38" t="s">
        <v>119</v>
      </c>
      <c r="D128" s="43" t="n">
        <f aca="false">D124-D127</f>
        <v>422734.924674312</v>
      </c>
      <c r="E128" s="43" t="n">
        <f aca="false">E124-E127</f>
        <v>734202.012759934</v>
      </c>
      <c r="F128" s="43" t="n">
        <f aca="false">F124-F127</f>
        <v>1045274.69786451</v>
      </c>
      <c r="G128" s="43" t="n">
        <f aca="false">G124-G127</f>
        <v>1314254.51613114</v>
      </c>
      <c r="H128" s="43" t="n">
        <f aca="false">H124-H127</f>
        <v>1611340.69999438</v>
      </c>
    </row>
    <row r="129" customFormat="false" ht="15" hidden="false" customHeight="true" outlineLevel="0" collapsed="false">
      <c r="B129" s="38" t="s">
        <v>120</v>
      </c>
      <c r="D129" s="43" t="n">
        <f aca="false">MAX(0,D128)*Inputs!$D$54</f>
        <v>126820.477402294</v>
      </c>
      <c r="E129" s="43" t="n">
        <f aca="false">MAX(0,E128)*Inputs!$D$54</f>
        <v>220260.60382798</v>
      </c>
      <c r="F129" s="43" t="n">
        <f aca="false">MAX(0,F128)*Inputs!$D$54</f>
        <v>313582.409359354</v>
      </c>
      <c r="G129" s="43" t="n">
        <f aca="false">MAX(0,G128)*Inputs!$D$54</f>
        <v>394276.354839341</v>
      </c>
      <c r="H129" s="43" t="n">
        <f aca="false">MAX(0,H128)*Inputs!$D$54</f>
        <v>483402.209998315</v>
      </c>
    </row>
    <row r="130" customFormat="false" ht="15" hidden="false" customHeight="true" outlineLevel="0" collapsed="false">
      <c r="B130" s="38" t="s">
        <v>121</v>
      </c>
      <c r="D130" s="43" t="n">
        <f aca="false">D128-D129</f>
        <v>295914.447272019</v>
      </c>
      <c r="E130" s="43" t="n">
        <f aca="false">E128-E129</f>
        <v>513941.408931954</v>
      </c>
      <c r="F130" s="43" t="n">
        <f aca="false">F128-F129</f>
        <v>731692.28850516</v>
      </c>
      <c r="G130" s="43" t="n">
        <f aca="false">G128-G129</f>
        <v>919978.161291795</v>
      </c>
      <c r="H130" s="43" t="n">
        <f aca="false">H128-H129</f>
        <v>1127938.48999607</v>
      </c>
    </row>
    <row r="131" customFormat="false" ht="15" hidden="false" customHeight="true" outlineLevel="0" collapsed="false">
      <c r="B131" s="38" t="s">
        <v>122</v>
      </c>
      <c r="D131" s="43" t="n">
        <f aca="false">(D117-0)*Inputs!$D$53</f>
        <v>104000</v>
      </c>
      <c r="E131" s="43" t="n">
        <f aca="false">(E117-D117)*Inputs!$D$53</f>
        <v>28288</v>
      </c>
      <c r="F131" s="43" t="n">
        <f aca="false">(F117-E117)*Inputs!$D$53</f>
        <v>28386.8</v>
      </c>
      <c r="G131" s="43" t="n">
        <f aca="false">(G117-F117)*Inputs!$D$53</f>
        <v>25123.696</v>
      </c>
      <c r="H131" s="43" t="n">
        <f aca="false">(H117-G117)*Inputs!$D$53</f>
        <v>27560.1102400001</v>
      </c>
    </row>
    <row r="132" customFormat="false" ht="15" hidden="false" customHeight="true" outlineLevel="0" collapsed="false">
      <c r="B132" s="37" t="s">
        <v>123</v>
      </c>
      <c r="D132" s="43" t="n">
        <f aca="false">D124-D129-D126-D131</f>
        <v>461007.021454834</v>
      </c>
      <c r="E132" s="43" t="n">
        <f aca="false">E124-E129-E126-E131</f>
        <v>751950.463114769</v>
      </c>
      <c r="F132" s="43" t="n">
        <f aca="false">F124-F129-F126-F131</f>
        <v>970148.230687975</v>
      </c>
      <c r="G132" s="43" t="n">
        <f aca="false">G124-G129-G126-G131</f>
        <v>1167411.38763461</v>
      </c>
      <c r="H132" s="43" t="n">
        <f aca="false">H124-H129-H126-H131</f>
        <v>1380348.66208928</v>
      </c>
    </row>
    <row r="133" customFormat="false" ht="15" hidden="false" customHeight="true" outlineLevel="0" collapsed="false">
      <c r="B133" s="37" t="s">
        <v>124</v>
      </c>
      <c r="D133" s="43" t="n">
        <f aca="false">Capital!$F$39+D132</f>
        <v>758143.117402342</v>
      </c>
      <c r="E133" s="43" t="n">
        <f aca="false">D133+E132</f>
        <v>1510093.58051711</v>
      </c>
      <c r="F133" s="43" t="n">
        <f aca="false">E133+F132</f>
        <v>2480241.81120509</v>
      </c>
      <c r="G133" s="43" t="n">
        <f aca="false">F133+G132</f>
        <v>3647653.1988397</v>
      </c>
      <c r="H133" s="43" t="n">
        <f aca="false">G133+H132</f>
        <v>5028001.86092898</v>
      </c>
    </row>
    <row r="136" customFormat="false" ht="15" hidden="false" customHeight="true" outlineLevel="0" collapsed="false">
      <c r="B136" s="37" t="s">
        <v>179</v>
      </c>
    </row>
    <row r="137" customFormat="false" ht="15" hidden="false" customHeight="true" outlineLevel="0" collapsed="false">
      <c r="B137" s="38" t="s">
        <v>180</v>
      </c>
      <c r="D137" s="43" t="n">
        <f aca="false">Capital!$F$39+(IF($Q$6=0,0,D117*Regions!G8/$Q$6))-(IF($Q$6=0,0,D118*D116*Regions!G8/$Q$6))-((IF($Q$6=0,0,D117*Regions!G8/$Q$6))*'Five Year'!$D$48)-(Inputs!$D$50*$F$9*(1+Inputs!$D$48)^0/12+IF(Regions!G8&gt;0,(D121-Inputs!$D$50*$F$9*(1+Inputs!$D$48)^0)/COUNTIF(Regions!$G$8:$R$8,"&gt;0"),0))-D122/12-D123/12-D129/12-D131/12-(IF($Q$6=0,0,D117*Regions!G8/$Q$6))*Inputs!$D$52</f>
        <v>226661.08431002</v>
      </c>
      <c r="E137" s="43" t="n">
        <f aca="false">D137+(IF($Q$6=0,0,D117*Regions!H8/$Q$6))-(IF($Q$6=0,0,D118*D116*Regions!H8/$Q$6))-((IF($Q$6=0,0,D117*Regions!H8/$Q$6))*'Five Year'!$D$48)-(Inputs!$D$50*$F$9*(1+Inputs!$D$48)^0/12+IF(Regions!H8&gt;0,(D121-Inputs!$D$50*$F$9*(1+Inputs!$D$48)^0)/COUNTIF(Regions!$G$8:$R$8,"&gt;0"),0))-D122/12-D123/12-D129/12-D131/12-(IF($Q$6=0,0,D117*Regions!H8/$Q$6))*Inputs!$D$52</f>
        <v>156186.072672532</v>
      </c>
      <c r="F137" s="43" t="n">
        <f aca="false">E137+(IF($Q$6=0,0,D117*Regions!I8/$Q$6))-(IF($Q$6=0,0,D118*D116*Regions!I8/$Q$6))-((IF($Q$6=0,0,D117*Regions!I8/$Q$6))*'Five Year'!$D$48)-(Inputs!$D$50*$F$9*(1+Inputs!$D$48)^0/12+IF(Regions!I8&gt;0,(D121-Inputs!$D$50*$F$9*(1+Inputs!$D$48)^0)/COUNTIF(Regions!$G$8:$R$8,"&gt;0"),0))-D122/12-D123/12-D129/12-D131/12-(IF($Q$6=0,0,D117*Regions!I8/$Q$6))*Inputs!$D$52</f>
        <v>216381.777145513</v>
      </c>
      <c r="G137" s="43" t="n">
        <f aca="false">F137+(IF($Q$6=0,0,D117*Regions!J8/$Q$6))-(IF($Q$6=0,0,D118*D116*Regions!J8/$Q$6))-((IF($Q$6=0,0,D117*Regions!J8/$Q$6))*'Five Year'!$D$48)-(Inputs!$D$50*$F$9*(1+Inputs!$D$48)^0/12+IF(Regions!J8&gt;0,(D121-Inputs!$D$50*$F$9*(1+Inputs!$D$48)^0)/COUNTIF(Regions!$G$8:$R$8,"&gt;0"),0))-D122/12-D123/12-D129/12-D131/12-(IF($Q$6=0,0,D117*Regions!J8/$Q$6))*Inputs!$D$52</f>
        <v>276577.481618494</v>
      </c>
      <c r="H137" s="43" t="n">
        <f aca="false">G137+(IF($Q$6=0,0,D117*Regions!K8/$Q$6))-(IF($Q$6=0,0,D118*D116*Regions!K8/$Q$6))-((IF($Q$6=0,0,D117*Regions!K8/$Q$6))*'Five Year'!$D$48)-(Inputs!$D$50*$F$9*(1+Inputs!$D$48)^0/12+IF(Regions!K8&gt;0,(D121-Inputs!$D$50*$F$9*(1+Inputs!$D$48)^0)/COUNTIF(Regions!$G$8:$R$8,"&gt;0"),0))-D122/12-D123/12-D129/12-D131/12-(IF($Q$6=0,0,D117*Regions!K8/$Q$6))*Inputs!$D$52</f>
        <v>336773.186091475</v>
      </c>
      <c r="I137" s="43" t="n">
        <f aca="false">H137+(IF($Q$6=0,0,D117*Regions!L8/$Q$6))-(IF($Q$6=0,0,D118*D116*Regions!L8/$Q$6))-((IF($Q$6=0,0,D117*Regions!L8/$Q$6))*'Five Year'!$D$48)-(Inputs!$D$50*$F$9*(1+Inputs!$D$48)^0/12+IF(Regions!L8&gt;0,(D121-Inputs!$D$50*$F$9*(1+Inputs!$D$48)^0)/COUNTIF(Regions!$G$8:$R$8,"&gt;0"),0))-D122/12-D123/12-D129/12-D131/12-(IF($Q$6=0,0,D117*Regions!L8/$Q$6))*Inputs!$D$52</f>
        <v>396968.890564456</v>
      </c>
      <c r="J137" s="43" t="n">
        <f aca="false">I137+(IF($Q$6=0,0,D117*Regions!M8/$Q$6))-(IF($Q$6=0,0,D118*D116*Regions!M8/$Q$6))-((IF($Q$6=0,0,D117*Regions!M8/$Q$6))*'Five Year'!$D$48)-(Inputs!$D$50*$F$9*(1+Inputs!$D$48)^0/12+IF(Regions!M8&gt;0,(D121-Inputs!$D$50*$F$9*(1+Inputs!$D$48)^0)/COUNTIF(Regions!$G$8:$R$8,"&gt;0"),0))-D122/12-D123/12-D129/12-D131/12-(IF($Q$6=0,0,D117*Regions!M8/$Q$6))*Inputs!$D$52</f>
        <v>457164.595037437</v>
      </c>
      <c r="K137" s="43" t="n">
        <f aca="false">J137+(IF($Q$6=0,0,D117*Regions!N8/$Q$6))-(IF($Q$6=0,0,D118*D116*Regions!N8/$Q$6))-((IF($Q$6=0,0,D117*Regions!N8/$Q$6))*'Five Year'!$D$48)-(Inputs!$D$50*$F$9*(1+Inputs!$D$48)^0/12+IF(Regions!N8&gt;0,(D121-Inputs!$D$50*$F$9*(1+Inputs!$D$48)^0)/COUNTIF(Regions!$G$8:$R$8,"&gt;0"),0))-D122/12-D123/12-D129/12-D131/12-(IF($Q$6=0,0,D117*Regions!N8/$Q$6))*Inputs!$D$52</f>
        <v>517360.299510418</v>
      </c>
      <c r="L137" s="43" t="n">
        <f aca="false">K137+(IF($Q$6=0,0,D117*Regions!O8/$Q$6))-(IF($Q$6=0,0,D118*D116*Regions!O8/$Q$6))-((IF($Q$6=0,0,D117*Regions!O8/$Q$6))*'Five Year'!$D$48)-(Inputs!$D$50*$F$9*(1+Inputs!$D$48)^0/12+IF(Regions!O8&gt;0,(D121-Inputs!$D$50*$F$9*(1+Inputs!$D$48)^0)/COUNTIF(Regions!$G$8:$R$8,"&gt;0"),0))-D122/12-D123/12-D129/12-D131/12-(IF($Q$6=0,0,D117*Regions!O8/$Q$6))*Inputs!$D$52</f>
        <v>577556.003983399</v>
      </c>
      <c r="M137" s="43" t="n">
        <f aca="false">L137+(IF($Q$6=0,0,D117*Regions!P8/$Q$6))-(IF($Q$6=0,0,D118*D116*Regions!P8/$Q$6))-((IF($Q$6=0,0,D117*Regions!P8/$Q$6))*'Five Year'!$D$48)-(Inputs!$D$50*$F$9*(1+Inputs!$D$48)^0/12+IF(Regions!P8&gt;0,(D121-Inputs!$D$50*$F$9*(1+Inputs!$D$48)^0)/COUNTIF(Regions!$G$8:$R$8,"&gt;0"),0))-D122/12-D123/12-D129/12-D131/12-(IF($Q$6=0,0,D117*Regions!P8/$Q$6))*Inputs!$D$52</f>
        <v>637751.70845638</v>
      </c>
      <c r="N137" s="43" t="n">
        <f aca="false">M137+(IF($Q$6=0,0,D117*Regions!Q8/$Q$6))-(IF($Q$6=0,0,D118*D116*Regions!Q8/$Q$6))-((IF($Q$6=0,0,D117*Regions!Q8/$Q$6))*'Five Year'!$D$48)-(Inputs!$D$50*$F$9*(1+Inputs!$D$48)^0/12+IF(Regions!Q8&gt;0,(D121-Inputs!$D$50*$F$9*(1+Inputs!$D$48)^0)/COUNTIF(Regions!$G$8:$R$8,"&gt;0"),0))-D122/12-D123/12-D129/12-D131/12-(IF($Q$6=0,0,D117*Regions!Q8/$Q$6))*Inputs!$D$52</f>
        <v>697947.412929361</v>
      </c>
      <c r="O137" s="43" t="n">
        <f aca="false">N137+(IF($Q$6=0,0,D117*Regions!R8/$Q$6))-(IF($Q$6=0,0,D118*D116*Regions!R8/$Q$6))-((IF($Q$6=0,0,D117*Regions!R8/$Q$6))*'Five Year'!$D$48)-(Inputs!$D$50*$F$9*(1+Inputs!$D$48)^0/12+IF(Regions!R8&gt;0,(D121-Inputs!$D$50*$F$9*(1+Inputs!$D$48)^0)/COUNTIF(Regions!$G$8:$R$8,"&gt;0"),0))-D122/12-D123/12-D129/12-D131/12-(IF($Q$6=0,0,D117*Regions!R8/$Q$6))*Inputs!$D$52</f>
        <v>758143.117402342</v>
      </c>
      <c r="Q137" s="43" t="n">
        <f aca="false">O137</f>
        <v>758143.117402342</v>
      </c>
      <c r="R137" s="43" t="n">
        <f aca="false">MIN(D137:O137)</f>
        <v>156186.072672532</v>
      </c>
    </row>
    <row r="138" customFormat="false" ht="15" hidden="false" customHeight="true" outlineLevel="0" collapsed="false">
      <c r="B138" s="38" t="s">
        <v>181</v>
      </c>
      <c r="D138" s="43" t="n">
        <f aca="false">$Q137+(IF($Q$6=0,0,E117*Regions!G8/$Q$6))-(IF($Q$6=0,0,E118*E116*Regions!G8/$Q$6))-((IF($Q$6=0,0,E117*Regions!G8/$Q$6))*'Five Year'!$D$48)-(Inputs!$D$50*$F$9*(1+Inputs!$D$48)^1/12+IF(Regions!G8&gt;0,(E121-Inputs!$D$50*$F$9*(1+Inputs!$D$48)^1)/COUNTIF(Regions!$G$8:$R$8,"&gt;0"),0))-E122/12-E123/12-E129/12-E131/12-(IF($Q$6=0,0,E117*Regions!G8/$Q$6))*Inputs!$D$52</f>
        <v>683591.363584809</v>
      </c>
      <c r="E138" s="43" t="n">
        <f aca="false">D138+(IF($Q$6=0,0,E117*Regions!H8/$Q$6))-(IF($Q$6=0,0,E118*E116*Regions!H8/$Q$6))-((IF($Q$6=0,0,E117*Regions!H8/$Q$6))*'Five Year'!$D$48)-(Inputs!$D$50*$F$9*(1+Inputs!$D$48)^1/12+IF(Regions!H8&gt;0,(E121-Inputs!$D$50*$F$9*(1+Inputs!$D$48)^1)/COUNTIF(Regions!$G$8:$R$8,"&gt;0"),0))-E122/12-E123/12-E129/12-E131/12-(IF($Q$6=0,0,E117*Regions!H8/$Q$6))*Inputs!$D$52</f>
        <v>609039.609767276</v>
      </c>
      <c r="F138" s="43" t="n">
        <f aca="false">E138+(IF($Q$6=0,0,E117*Regions!I8/$Q$6))-(IF($Q$6=0,0,E118*E116*Regions!I8/$Q$6))-((IF($Q$6=0,0,E117*Regions!I8/$Q$6))*'Five Year'!$D$48)-(Inputs!$D$50*$F$9*(1+Inputs!$D$48)^1/12+IF(Regions!I8&gt;0,(E121-Inputs!$D$50*$F$9*(1+Inputs!$D$48)^1)/COUNTIF(Regions!$G$8:$R$8,"&gt;0"),0))-E122/12-E123/12-E129/12-E131/12-(IF($Q$6=0,0,E117*Regions!I8/$Q$6))*Inputs!$D$52</f>
        <v>699145.006842259</v>
      </c>
      <c r="G138" s="43" t="n">
        <f aca="false">F138+(IF($Q$6=0,0,E117*Regions!J8/$Q$6))-(IF($Q$6=0,0,E118*E116*Regions!J8/$Q$6))-((IF($Q$6=0,0,E117*Regions!J8/$Q$6))*'Five Year'!$D$48)-(Inputs!$D$50*$F$9*(1+Inputs!$D$48)^1/12+IF(Regions!J8&gt;0,(E121-Inputs!$D$50*$F$9*(1+Inputs!$D$48)^1)/COUNTIF(Regions!$G$8:$R$8,"&gt;0"),0))-E122/12-E123/12-E129/12-E131/12-(IF($Q$6=0,0,E117*Regions!J8/$Q$6))*Inputs!$D$52</f>
        <v>789250.403917243</v>
      </c>
      <c r="H138" s="43" t="n">
        <f aca="false">G138+(IF($Q$6=0,0,E117*Regions!K8/$Q$6))-(IF($Q$6=0,0,E118*E116*Regions!K8/$Q$6))-((IF($Q$6=0,0,E117*Regions!K8/$Q$6))*'Five Year'!$D$48)-(Inputs!$D$50*$F$9*(1+Inputs!$D$48)^1/12+IF(Regions!K8&gt;0,(E121-Inputs!$D$50*$F$9*(1+Inputs!$D$48)^1)/COUNTIF(Regions!$G$8:$R$8,"&gt;0"),0))-E122/12-E123/12-E129/12-E131/12-(IF($Q$6=0,0,E117*Regions!K8/$Q$6))*Inputs!$D$52</f>
        <v>879355.800992226</v>
      </c>
      <c r="I138" s="43" t="n">
        <f aca="false">H138+(IF($Q$6=0,0,E117*Regions!L8/$Q$6))-(IF($Q$6=0,0,E118*E116*Regions!L8/$Q$6))-((IF($Q$6=0,0,E117*Regions!L8/$Q$6))*'Five Year'!$D$48)-(Inputs!$D$50*$F$9*(1+Inputs!$D$48)^1/12+IF(Regions!L8&gt;0,(E121-Inputs!$D$50*$F$9*(1+Inputs!$D$48)^1)/COUNTIF(Regions!$G$8:$R$8,"&gt;0"),0))-E122/12-E123/12-E129/12-E131/12-(IF($Q$6=0,0,E117*Regions!L8/$Q$6))*Inputs!$D$52</f>
        <v>969461.198067209</v>
      </c>
      <c r="J138" s="43" t="n">
        <f aca="false">I138+(IF($Q$6=0,0,E117*Regions!M8/$Q$6))-(IF($Q$6=0,0,E118*E116*Regions!M8/$Q$6))-((IF($Q$6=0,0,E117*Regions!M8/$Q$6))*'Five Year'!$D$48)-(Inputs!$D$50*$F$9*(1+Inputs!$D$48)^1/12+IF(Regions!M8&gt;0,(E121-Inputs!$D$50*$F$9*(1+Inputs!$D$48)^1)/COUNTIF(Regions!$G$8:$R$8,"&gt;0"),0))-E122/12-E123/12-E129/12-E131/12-(IF($Q$6=0,0,E117*Regions!M8/$Q$6))*Inputs!$D$52</f>
        <v>1059566.59514219</v>
      </c>
      <c r="K138" s="43" t="n">
        <f aca="false">J138+(IF($Q$6=0,0,E117*Regions!N8/$Q$6))-(IF($Q$6=0,0,E118*E116*Regions!N8/$Q$6))-((IF($Q$6=0,0,E117*Regions!N8/$Q$6))*'Five Year'!$D$48)-(Inputs!$D$50*$F$9*(1+Inputs!$D$48)^1/12+IF(Regions!N8&gt;0,(E121-Inputs!$D$50*$F$9*(1+Inputs!$D$48)^1)/COUNTIF(Regions!$G$8:$R$8,"&gt;0"),0))-E122/12-E123/12-E129/12-E131/12-(IF($Q$6=0,0,E117*Regions!N8/$Q$6))*Inputs!$D$52</f>
        <v>1149671.99221718</v>
      </c>
      <c r="L138" s="43" t="n">
        <f aca="false">K138+(IF($Q$6=0,0,E117*Regions!O8/$Q$6))-(IF($Q$6=0,0,E118*E116*Regions!O8/$Q$6))-((IF($Q$6=0,0,E117*Regions!O8/$Q$6))*'Five Year'!$D$48)-(Inputs!$D$50*$F$9*(1+Inputs!$D$48)^1/12+IF(Regions!O8&gt;0,(E121-Inputs!$D$50*$F$9*(1+Inputs!$D$48)^1)/COUNTIF(Regions!$G$8:$R$8,"&gt;0"),0))-E122/12-E123/12-E129/12-E131/12-(IF($Q$6=0,0,E117*Regions!O8/$Q$6))*Inputs!$D$52</f>
        <v>1239777.38929216</v>
      </c>
      <c r="M138" s="43" t="n">
        <f aca="false">L138+(IF($Q$6=0,0,E117*Regions!P8/$Q$6))-(IF($Q$6=0,0,E118*E116*Regions!P8/$Q$6))-((IF($Q$6=0,0,E117*Regions!P8/$Q$6))*'Five Year'!$D$48)-(Inputs!$D$50*$F$9*(1+Inputs!$D$48)^1/12+IF(Regions!P8&gt;0,(E121-Inputs!$D$50*$F$9*(1+Inputs!$D$48)^1)/COUNTIF(Regions!$G$8:$R$8,"&gt;0"),0))-E122/12-E123/12-E129/12-E131/12-(IF($Q$6=0,0,E117*Regions!P8/$Q$6))*Inputs!$D$52</f>
        <v>1329882.78636714</v>
      </c>
      <c r="N138" s="43" t="n">
        <f aca="false">M138+(IF($Q$6=0,0,E117*Regions!Q8/$Q$6))-(IF($Q$6=0,0,E118*E116*Regions!Q8/$Q$6))-((IF($Q$6=0,0,E117*Regions!Q8/$Q$6))*'Five Year'!$D$48)-(Inputs!$D$50*$F$9*(1+Inputs!$D$48)^1/12+IF(Regions!Q8&gt;0,(E121-Inputs!$D$50*$F$9*(1+Inputs!$D$48)^1)/COUNTIF(Regions!$G$8:$R$8,"&gt;0"),0))-E122/12-E123/12-E129/12-E131/12-(IF($Q$6=0,0,E117*Regions!Q8/$Q$6))*Inputs!$D$52</f>
        <v>1419988.18344213</v>
      </c>
      <c r="O138" s="43" t="n">
        <f aca="false">N138+(IF($Q$6=0,0,E117*Regions!R8/$Q$6))-(IF($Q$6=0,0,E118*E116*Regions!R8/$Q$6))-((IF($Q$6=0,0,E117*Regions!R8/$Q$6))*'Five Year'!$D$48)-(Inputs!$D$50*$F$9*(1+Inputs!$D$48)^1/12+IF(Regions!R8&gt;0,(E121-Inputs!$D$50*$F$9*(1+Inputs!$D$48)^1)/COUNTIF(Regions!$G$8:$R$8,"&gt;0"),0))-E122/12-E123/12-E129/12-E131/12-(IF($Q$6=0,0,E117*Regions!R8/$Q$6))*Inputs!$D$52</f>
        <v>1510093.58051711</v>
      </c>
      <c r="Q138" s="43" t="n">
        <f aca="false">O138</f>
        <v>1510093.58051711</v>
      </c>
      <c r="R138" s="43" t="n">
        <f aca="false">MIN(D138:O138)</f>
        <v>609039.609767276</v>
      </c>
    </row>
    <row r="139" customFormat="false" ht="15" hidden="false" customHeight="true" outlineLevel="0" collapsed="false">
      <c r="B139" s="38" t="s">
        <v>182</v>
      </c>
      <c r="D139" s="43" t="n">
        <f aca="false">$Q138+(IF($Q$6=0,0,F117*Regions!G8/$Q$6))-(IF($Q$6=0,0,F118*F116*Regions!G8/$Q$6))-((IF($Q$6=0,0,F117*Regions!G8/$Q$6))*'Five Year'!$D$48)-(Inputs!$D$50*$F$9*(1+Inputs!$D$48)^2/12+IF(Regions!G8&gt;0,(F121-Inputs!$D$50*$F$9*(1+Inputs!$D$48)^2)/COUNTIF(Regions!$G$8:$R$8,"&gt;0"),0))-F122/12-F123/12-F129/12-F131/12-(IF($Q$6=0,0,F117*Regions!G8/$Q$6))*Inputs!$D$52</f>
        <v>1425015.66402872</v>
      </c>
      <c r="E139" s="43" t="n">
        <f aca="false">D139+(IF($Q$6=0,0,F117*Regions!H8/$Q$6))-(IF($Q$6=0,0,F118*F116*Regions!H8/$Q$6))-((IF($Q$6=0,0,F117*Regions!H8/$Q$6))*'Five Year'!$D$48)-(Inputs!$D$50*$F$9*(1+Inputs!$D$48)^2/12+IF(Regions!H8&gt;0,(F121-Inputs!$D$50*$F$9*(1+Inputs!$D$48)^2)/COUNTIF(Regions!$G$8:$R$8,"&gt;0"),0))-F122/12-F123/12-F129/12-F131/12-(IF($Q$6=0,0,F117*Regions!H8/$Q$6))*Inputs!$D$52</f>
        <v>1339937.74754033</v>
      </c>
      <c r="F139" s="43" t="n">
        <f aca="false">E139+(IF($Q$6=0,0,F117*Regions!I8/$Q$6))-(IF($Q$6=0,0,F118*F116*Regions!I8/$Q$6))-((IF($Q$6=0,0,F117*Regions!I8/$Q$6))*'Five Year'!$D$48)-(Inputs!$D$50*$F$9*(1+Inputs!$D$48)^2/12+IF(Regions!I8&gt;0,(F121-Inputs!$D$50*$F$9*(1+Inputs!$D$48)^2)/COUNTIF(Regions!$G$8:$R$8,"&gt;0"),0))-F122/12-F123/12-F129/12-F131/12-(IF($Q$6=0,0,F117*Regions!I8/$Q$6))*Inputs!$D$52</f>
        <v>1453968.1539068</v>
      </c>
      <c r="G139" s="43" t="n">
        <f aca="false">F139+(IF($Q$6=0,0,F117*Regions!J8/$Q$6))-(IF($Q$6=0,0,F118*F116*Regions!J8/$Q$6))-((IF($Q$6=0,0,F117*Regions!J8/$Q$6))*'Five Year'!$D$48)-(Inputs!$D$50*$F$9*(1+Inputs!$D$48)^2/12+IF(Regions!J8&gt;0,(F121-Inputs!$D$50*$F$9*(1+Inputs!$D$48)^2)/COUNTIF(Regions!$G$8:$R$8,"&gt;0"),0))-F122/12-F123/12-F129/12-F131/12-(IF($Q$6=0,0,F117*Regions!J8/$Q$6))*Inputs!$D$52</f>
        <v>1567998.56027328</v>
      </c>
      <c r="H139" s="43" t="n">
        <f aca="false">G139+(IF($Q$6=0,0,F117*Regions!K8/$Q$6))-(IF($Q$6=0,0,F118*F116*Regions!K8/$Q$6))-((IF($Q$6=0,0,F117*Regions!K8/$Q$6))*'Five Year'!$D$48)-(Inputs!$D$50*$F$9*(1+Inputs!$D$48)^2/12+IF(Regions!K8&gt;0,(F121-Inputs!$D$50*$F$9*(1+Inputs!$D$48)^2)/COUNTIF(Regions!$G$8:$R$8,"&gt;0"),0))-F122/12-F123/12-F129/12-F131/12-(IF($Q$6=0,0,F117*Regions!K8/$Q$6))*Inputs!$D$52</f>
        <v>1682028.96663975</v>
      </c>
      <c r="I139" s="43" t="n">
        <f aca="false">H139+(IF($Q$6=0,0,F117*Regions!L8/$Q$6))-(IF($Q$6=0,0,F118*F116*Regions!L8/$Q$6))-((IF($Q$6=0,0,F117*Regions!L8/$Q$6))*'Five Year'!$D$48)-(Inputs!$D$50*$F$9*(1+Inputs!$D$48)^2/12+IF(Regions!L8&gt;0,(F121-Inputs!$D$50*$F$9*(1+Inputs!$D$48)^2)/COUNTIF(Regions!$G$8:$R$8,"&gt;0"),0))-F122/12-F123/12-F129/12-F131/12-(IF($Q$6=0,0,F117*Regions!L8/$Q$6))*Inputs!$D$52</f>
        <v>1796059.37300623</v>
      </c>
      <c r="J139" s="43" t="n">
        <f aca="false">I139+(IF($Q$6=0,0,F117*Regions!M8/$Q$6))-(IF($Q$6=0,0,F118*F116*Regions!M8/$Q$6))-((IF($Q$6=0,0,F117*Regions!M8/$Q$6))*'Five Year'!$D$48)-(Inputs!$D$50*$F$9*(1+Inputs!$D$48)^2/12+IF(Regions!M8&gt;0,(F121-Inputs!$D$50*$F$9*(1+Inputs!$D$48)^2)/COUNTIF(Regions!$G$8:$R$8,"&gt;0"),0))-F122/12-F123/12-F129/12-F131/12-(IF($Q$6=0,0,F117*Regions!M8/$Q$6))*Inputs!$D$52</f>
        <v>1910089.77937271</v>
      </c>
      <c r="K139" s="43" t="n">
        <f aca="false">J139+(IF($Q$6=0,0,F117*Regions!N8/$Q$6))-(IF($Q$6=0,0,F118*F116*Regions!N8/$Q$6))-((IF($Q$6=0,0,F117*Regions!N8/$Q$6))*'Five Year'!$D$48)-(Inputs!$D$50*$F$9*(1+Inputs!$D$48)^2/12+IF(Regions!N8&gt;0,(F121-Inputs!$D$50*$F$9*(1+Inputs!$D$48)^2)/COUNTIF(Regions!$G$8:$R$8,"&gt;0"),0))-F122/12-F123/12-F129/12-F131/12-(IF($Q$6=0,0,F117*Regions!N8/$Q$6))*Inputs!$D$52</f>
        <v>2024120.18573918</v>
      </c>
      <c r="L139" s="43" t="n">
        <f aca="false">K139+(IF($Q$6=0,0,F117*Regions!O8/$Q$6))-(IF($Q$6=0,0,F118*F116*Regions!O8/$Q$6))-((IF($Q$6=0,0,F117*Regions!O8/$Q$6))*'Five Year'!$D$48)-(Inputs!$D$50*$F$9*(1+Inputs!$D$48)^2/12+IF(Regions!O8&gt;0,(F121-Inputs!$D$50*$F$9*(1+Inputs!$D$48)^2)/COUNTIF(Regions!$G$8:$R$8,"&gt;0"),0))-F122/12-F123/12-F129/12-F131/12-(IF($Q$6=0,0,F117*Regions!O8/$Q$6))*Inputs!$D$52</f>
        <v>2138150.59210566</v>
      </c>
      <c r="M139" s="43" t="n">
        <f aca="false">L139+(IF($Q$6=0,0,F117*Regions!P8/$Q$6))-(IF($Q$6=0,0,F118*F116*Regions!P8/$Q$6))-((IF($Q$6=0,0,F117*Regions!P8/$Q$6))*'Five Year'!$D$48)-(Inputs!$D$50*$F$9*(1+Inputs!$D$48)^2/12+IF(Regions!P8&gt;0,(F121-Inputs!$D$50*$F$9*(1+Inputs!$D$48)^2)/COUNTIF(Regions!$G$8:$R$8,"&gt;0"),0))-F122/12-F123/12-F129/12-F131/12-(IF($Q$6=0,0,F117*Regions!P8/$Q$6))*Inputs!$D$52</f>
        <v>2252180.99847213</v>
      </c>
      <c r="N139" s="43" t="n">
        <f aca="false">M139+(IF($Q$6=0,0,F117*Regions!Q8/$Q$6))-(IF($Q$6=0,0,F118*F116*Regions!Q8/$Q$6))-((IF($Q$6=0,0,F117*Regions!Q8/$Q$6))*'Five Year'!$D$48)-(Inputs!$D$50*$F$9*(1+Inputs!$D$48)^2/12+IF(Regions!Q8&gt;0,(F121-Inputs!$D$50*$F$9*(1+Inputs!$D$48)^2)/COUNTIF(Regions!$G$8:$R$8,"&gt;0"),0))-F122/12-F123/12-F129/12-F131/12-(IF($Q$6=0,0,F117*Regions!Q8/$Q$6))*Inputs!$D$52</f>
        <v>2366211.40483861</v>
      </c>
      <c r="O139" s="43" t="n">
        <f aca="false">N139+(IF($Q$6=0,0,F117*Regions!R8/$Q$6))-(IF($Q$6=0,0,F118*F116*Regions!R8/$Q$6))-((IF($Q$6=0,0,F117*Regions!R8/$Q$6))*'Five Year'!$D$48)-(Inputs!$D$50*$F$9*(1+Inputs!$D$48)^2/12+IF(Regions!R8&gt;0,(F121-Inputs!$D$50*$F$9*(1+Inputs!$D$48)^2)/COUNTIF(Regions!$G$8:$R$8,"&gt;0"),0))-F122/12-F123/12-F129/12-F131/12-(IF($Q$6=0,0,F117*Regions!R8/$Q$6))*Inputs!$D$52</f>
        <v>2480241.81120509</v>
      </c>
      <c r="Q139" s="43" t="n">
        <f aca="false">O139</f>
        <v>2480241.81120509</v>
      </c>
      <c r="R139" s="43" t="n">
        <f aca="false">MIN(D139:O139)</f>
        <v>1339937.74754033</v>
      </c>
    </row>
    <row r="140" customFormat="false" ht="15" hidden="false" customHeight="true" outlineLevel="0" collapsed="false">
      <c r="B140" s="38" t="s">
        <v>183</v>
      </c>
      <c r="D140" s="43" t="n">
        <f aca="false">$Q139+(IF($Q$6=0,0,G117*Regions!G8/$Q$6))-(IF($Q$6=0,0,G118*G116*Regions!G8/$Q$6))-((IF($Q$6=0,0,G117*Regions!G8/$Q$6))*'Five Year'!$D$48)-(Inputs!$D$50*$F$9*(1+Inputs!$D$48)^3/12+IF(Regions!G8&gt;0,(G121-Inputs!$D$50*$F$9*(1+Inputs!$D$48)^3)/COUNTIF(Regions!$G$8:$R$8,"&gt;0"),0))-G122/12-G123/12-G129/12-G131/12-(IF($Q$6=0,0,G117*Regions!G8/$Q$6))*Inputs!$D$52</f>
        <v>2385820.42315085</v>
      </c>
      <c r="E140" s="43" t="n">
        <f aca="false">D140+(IF($Q$6=0,0,G117*Regions!H8/$Q$6))-(IF($Q$6=0,0,G118*G116*Regions!H8/$Q$6))-((IF($Q$6=0,0,G117*Regions!H8/$Q$6))*'Five Year'!$D$48)-(Inputs!$D$50*$F$9*(1+Inputs!$D$48)^3/12+IF(Regions!H8&gt;0,(G121-Inputs!$D$50*$F$9*(1+Inputs!$D$48)^3)/COUNTIF(Regions!$G$8:$R$8,"&gt;0"),0))-G122/12-G123/12-G129/12-G131/12-(IF($Q$6=0,0,G117*Regions!H8/$Q$6))*Inputs!$D$52</f>
        <v>2291399.03509662</v>
      </c>
      <c r="F140" s="43" t="n">
        <f aca="false">E140+(IF($Q$6=0,0,G117*Regions!I8/$Q$6))-(IF($Q$6=0,0,G118*G116*Regions!I8/$Q$6))-((IF($Q$6=0,0,G117*Regions!I8/$Q$6))*'Five Year'!$D$48)-(Inputs!$D$50*$F$9*(1+Inputs!$D$48)^3/12+IF(Regions!I8&gt;0,(G121-Inputs!$D$50*$F$9*(1+Inputs!$D$48)^3)/COUNTIF(Regions!$G$8:$R$8,"&gt;0"),0))-G122/12-G123/12-G129/12-G131/12-(IF($Q$6=0,0,G117*Regions!I8/$Q$6))*Inputs!$D$52</f>
        <v>2427024.45147093</v>
      </c>
      <c r="G140" s="43" t="n">
        <f aca="false">F140+(IF($Q$6=0,0,G117*Regions!J8/$Q$6))-(IF($Q$6=0,0,G118*G116*Regions!J8/$Q$6))-((IF($Q$6=0,0,G117*Regions!J8/$Q$6))*'Five Year'!$D$48)-(Inputs!$D$50*$F$9*(1+Inputs!$D$48)^3/12+IF(Regions!J8&gt;0,(G121-Inputs!$D$50*$F$9*(1+Inputs!$D$48)^3)/COUNTIF(Regions!$G$8:$R$8,"&gt;0"),0))-G122/12-G123/12-G129/12-G131/12-(IF($Q$6=0,0,G117*Regions!J8/$Q$6))*Inputs!$D$52</f>
        <v>2562649.86784524</v>
      </c>
      <c r="H140" s="43" t="n">
        <f aca="false">G140+(IF($Q$6=0,0,G117*Regions!K8/$Q$6))-(IF($Q$6=0,0,G118*G116*Regions!K8/$Q$6))-((IF($Q$6=0,0,G117*Regions!K8/$Q$6))*'Five Year'!$D$48)-(Inputs!$D$50*$F$9*(1+Inputs!$D$48)^3/12+IF(Regions!K8&gt;0,(G121-Inputs!$D$50*$F$9*(1+Inputs!$D$48)^3)/COUNTIF(Regions!$G$8:$R$8,"&gt;0"),0))-G122/12-G123/12-G129/12-G131/12-(IF($Q$6=0,0,G117*Regions!K8/$Q$6))*Inputs!$D$52</f>
        <v>2698275.28421955</v>
      </c>
      <c r="I140" s="43" t="n">
        <f aca="false">H140+(IF($Q$6=0,0,G117*Regions!L8/$Q$6))-(IF($Q$6=0,0,G118*G116*Regions!L8/$Q$6))-((IF($Q$6=0,0,G117*Regions!L8/$Q$6))*'Five Year'!$D$48)-(Inputs!$D$50*$F$9*(1+Inputs!$D$48)^3/12+IF(Regions!L8&gt;0,(G121-Inputs!$D$50*$F$9*(1+Inputs!$D$48)^3)/COUNTIF(Regions!$G$8:$R$8,"&gt;0"),0))-G122/12-G123/12-G129/12-G131/12-(IF($Q$6=0,0,G117*Regions!L8/$Q$6))*Inputs!$D$52</f>
        <v>2833900.70059386</v>
      </c>
      <c r="J140" s="43" t="n">
        <f aca="false">I140+(IF($Q$6=0,0,G117*Regions!M8/$Q$6))-(IF($Q$6=0,0,G118*G116*Regions!M8/$Q$6))-((IF($Q$6=0,0,G117*Regions!M8/$Q$6))*'Five Year'!$D$48)-(Inputs!$D$50*$F$9*(1+Inputs!$D$48)^3/12+IF(Regions!M8&gt;0,(G121-Inputs!$D$50*$F$9*(1+Inputs!$D$48)^3)/COUNTIF(Regions!$G$8:$R$8,"&gt;0"),0))-G122/12-G123/12-G129/12-G131/12-(IF($Q$6=0,0,G117*Regions!M8/$Q$6))*Inputs!$D$52</f>
        <v>2969526.11696816</v>
      </c>
      <c r="K140" s="43" t="n">
        <f aca="false">J140+(IF($Q$6=0,0,G117*Regions!N8/$Q$6))-(IF($Q$6=0,0,G118*G116*Regions!N8/$Q$6))-((IF($Q$6=0,0,G117*Regions!N8/$Q$6))*'Five Year'!$D$48)-(Inputs!$D$50*$F$9*(1+Inputs!$D$48)^3/12+IF(Regions!N8&gt;0,(G121-Inputs!$D$50*$F$9*(1+Inputs!$D$48)^3)/COUNTIF(Regions!$G$8:$R$8,"&gt;0"),0))-G122/12-G123/12-G129/12-G131/12-(IF($Q$6=0,0,G117*Regions!N8/$Q$6))*Inputs!$D$52</f>
        <v>3105151.53334247</v>
      </c>
      <c r="L140" s="43" t="n">
        <f aca="false">K140+(IF($Q$6=0,0,G117*Regions!O8/$Q$6))-(IF($Q$6=0,0,G118*G116*Regions!O8/$Q$6))-((IF($Q$6=0,0,G117*Regions!O8/$Q$6))*'Five Year'!$D$48)-(Inputs!$D$50*$F$9*(1+Inputs!$D$48)^3/12+IF(Regions!O8&gt;0,(G121-Inputs!$D$50*$F$9*(1+Inputs!$D$48)^3)/COUNTIF(Regions!$G$8:$R$8,"&gt;0"),0))-G122/12-G123/12-G129/12-G131/12-(IF($Q$6=0,0,G117*Regions!O8/$Q$6))*Inputs!$D$52</f>
        <v>3240776.94971678</v>
      </c>
      <c r="M140" s="43" t="n">
        <f aca="false">L140+(IF($Q$6=0,0,G117*Regions!P8/$Q$6))-(IF($Q$6=0,0,G118*G116*Regions!P8/$Q$6))-((IF($Q$6=0,0,G117*Regions!P8/$Q$6))*'Five Year'!$D$48)-(Inputs!$D$50*$F$9*(1+Inputs!$D$48)^3/12+IF(Regions!P8&gt;0,(G121-Inputs!$D$50*$F$9*(1+Inputs!$D$48)^3)/COUNTIF(Regions!$G$8:$R$8,"&gt;0"),0))-G122/12-G123/12-G129/12-G131/12-(IF($Q$6=0,0,G117*Regions!P8/$Q$6))*Inputs!$D$52</f>
        <v>3376402.36609109</v>
      </c>
      <c r="N140" s="43" t="n">
        <f aca="false">M140+(IF($Q$6=0,0,G117*Regions!Q8/$Q$6))-(IF($Q$6=0,0,G118*G116*Regions!Q8/$Q$6))-((IF($Q$6=0,0,G117*Regions!Q8/$Q$6))*'Five Year'!$D$48)-(Inputs!$D$50*$F$9*(1+Inputs!$D$48)^3/12+IF(Regions!Q8&gt;0,(G121-Inputs!$D$50*$F$9*(1+Inputs!$D$48)^3)/COUNTIF(Regions!$G$8:$R$8,"&gt;0"),0))-G122/12-G123/12-G129/12-G131/12-(IF($Q$6=0,0,G117*Regions!Q8/$Q$6))*Inputs!$D$52</f>
        <v>3512027.7824654</v>
      </c>
      <c r="O140" s="43" t="n">
        <f aca="false">N140+(IF($Q$6=0,0,G117*Regions!R8/$Q$6))-(IF($Q$6=0,0,G118*G116*Regions!R8/$Q$6))-((IF($Q$6=0,0,G117*Regions!R8/$Q$6))*'Five Year'!$D$48)-(Inputs!$D$50*$F$9*(1+Inputs!$D$48)^3/12+IF(Regions!R8&gt;0,(G121-Inputs!$D$50*$F$9*(1+Inputs!$D$48)^3)/COUNTIF(Regions!$G$8:$R$8,"&gt;0"),0))-G122/12-G123/12-G129/12-G131/12-(IF($Q$6=0,0,G117*Regions!R8/$Q$6))*Inputs!$D$52</f>
        <v>3647653.1988397</v>
      </c>
      <c r="Q140" s="43" t="n">
        <f aca="false">O140</f>
        <v>3647653.1988397</v>
      </c>
      <c r="R140" s="43" t="n">
        <f aca="false">MIN(D140:O140)</f>
        <v>2291399.03509662</v>
      </c>
    </row>
    <row r="141" customFormat="false" ht="15" hidden="false" customHeight="true" outlineLevel="0" collapsed="false">
      <c r="B141" s="38" t="s">
        <v>184</v>
      </c>
      <c r="D141" s="43" t="n">
        <f aca="false">$Q140+(IF($Q$6=0,0,H117*Regions!G8/$Q$6))-(IF($Q$6=0,0,H118*H116*Regions!G8/$Q$6))-((IF($Q$6=0,0,H117*Regions!G8/$Q$6))*'Five Year'!$D$48)-(Inputs!$D$50*$F$9*(1+Inputs!$D$48)^4/12+IF(Regions!G8&gt;0,(H121-Inputs!$D$50*$F$9*(1+Inputs!$D$48)^4)/COUNTIF(Regions!$G$8:$R$8,"&gt;0"),0))-H122/12-H123/12-H129/12-H131/12-(IF($Q$6=0,0,H117*Regions!G8/$Q$6))*Inputs!$D$52</f>
        <v>3542552.38396483</v>
      </c>
      <c r="E141" s="43" t="n">
        <f aca="false">D141+(IF($Q$6=0,0,H117*Regions!H8/$Q$6))-(IF($Q$6=0,0,H118*H116*Regions!H8/$Q$6))-((IF($Q$6=0,0,H117*Regions!H8/$Q$6))*'Five Year'!$D$48)-(Inputs!$D$50*$F$9*(1+Inputs!$D$48)^4/12+IF(Regions!H8&gt;0,(H121-Inputs!$D$50*$F$9*(1+Inputs!$D$48)^4)/COUNTIF(Regions!$G$8:$R$8,"&gt;0"),0))-H122/12-H123/12-H129/12-H131/12-(IF($Q$6=0,0,H117*Regions!H8/$Q$6))*Inputs!$D$52</f>
        <v>3437451.56908996</v>
      </c>
      <c r="F141" s="43" t="n">
        <f aca="false">E141+(IF($Q$6=0,0,H117*Regions!I8/$Q$6))-(IF($Q$6=0,0,H118*H116*Regions!I8/$Q$6))-((IF($Q$6=0,0,H117*Regions!I8/$Q$6))*'Five Year'!$D$48)-(Inputs!$D$50*$F$9*(1+Inputs!$D$48)^4/12+IF(Regions!I8&gt;0,(H121-Inputs!$D$50*$F$9*(1+Inputs!$D$48)^4)/COUNTIF(Regions!$G$8:$R$8,"&gt;0"),0))-H122/12-H123/12-H129/12-H131/12-(IF($Q$6=0,0,H117*Regions!I8/$Q$6))*Inputs!$D$52</f>
        <v>3596506.59827387</v>
      </c>
      <c r="G141" s="43" t="n">
        <f aca="false">F141+(IF($Q$6=0,0,H117*Regions!J8/$Q$6))-(IF($Q$6=0,0,H118*H116*Regions!J8/$Q$6))-((IF($Q$6=0,0,H117*Regions!J8/$Q$6))*'Five Year'!$D$48)-(Inputs!$D$50*$F$9*(1+Inputs!$D$48)^4/12+IF(Regions!J8&gt;0,(H121-Inputs!$D$50*$F$9*(1+Inputs!$D$48)^4)/COUNTIF(Regions!$G$8:$R$8,"&gt;0"),0))-H122/12-H123/12-H129/12-H131/12-(IF($Q$6=0,0,H117*Regions!J8/$Q$6))*Inputs!$D$52</f>
        <v>3755561.62745777</v>
      </c>
      <c r="H141" s="43" t="n">
        <f aca="false">G141+(IF($Q$6=0,0,H117*Regions!K8/$Q$6))-(IF($Q$6=0,0,H118*H116*Regions!K8/$Q$6))-((IF($Q$6=0,0,H117*Regions!K8/$Q$6))*'Five Year'!$D$48)-(Inputs!$D$50*$F$9*(1+Inputs!$D$48)^4/12+IF(Regions!K8&gt;0,(H121-Inputs!$D$50*$F$9*(1+Inputs!$D$48)^4)/COUNTIF(Regions!$G$8:$R$8,"&gt;0"),0))-H122/12-H123/12-H129/12-H131/12-(IF($Q$6=0,0,H117*Regions!K8/$Q$6))*Inputs!$D$52</f>
        <v>3914616.65664167</v>
      </c>
      <c r="I141" s="43" t="n">
        <f aca="false">H141+(IF($Q$6=0,0,H117*Regions!L8/$Q$6))-(IF($Q$6=0,0,H118*H116*Regions!L8/$Q$6))-((IF($Q$6=0,0,H117*Regions!L8/$Q$6))*'Five Year'!$D$48)-(Inputs!$D$50*$F$9*(1+Inputs!$D$48)^4/12+IF(Regions!L8&gt;0,(H121-Inputs!$D$50*$F$9*(1+Inputs!$D$48)^4)/COUNTIF(Regions!$G$8:$R$8,"&gt;0"),0))-H122/12-H123/12-H129/12-H131/12-(IF($Q$6=0,0,H117*Regions!L8/$Q$6))*Inputs!$D$52</f>
        <v>4073671.68582558</v>
      </c>
      <c r="J141" s="43" t="n">
        <f aca="false">I141+(IF($Q$6=0,0,H117*Regions!M8/$Q$6))-(IF($Q$6=0,0,H118*H116*Regions!M8/$Q$6))-((IF($Q$6=0,0,H117*Regions!M8/$Q$6))*'Five Year'!$D$48)-(Inputs!$D$50*$F$9*(1+Inputs!$D$48)^4/12+IF(Regions!M8&gt;0,(H121-Inputs!$D$50*$F$9*(1+Inputs!$D$48)^4)/COUNTIF(Regions!$G$8:$R$8,"&gt;0"),0))-H122/12-H123/12-H129/12-H131/12-(IF($Q$6=0,0,H117*Regions!M8/$Q$6))*Inputs!$D$52</f>
        <v>4232726.71500948</v>
      </c>
      <c r="K141" s="43" t="n">
        <f aca="false">J141+(IF($Q$6=0,0,H117*Regions!N8/$Q$6))-(IF($Q$6=0,0,H118*H116*Regions!N8/$Q$6))-((IF($Q$6=0,0,H117*Regions!N8/$Q$6))*'Five Year'!$D$48)-(Inputs!$D$50*$F$9*(1+Inputs!$D$48)^4/12+IF(Regions!N8&gt;0,(H121-Inputs!$D$50*$F$9*(1+Inputs!$D$48)^4)/COUNTIF(Regions!$G$8:$R$8,"&gt;0"),0))-H122/12-H123/12-H129/12-H131/12-(IF($Q$6=0,0,H117*Regions!N8/$Q$6))*Inputs!$D$52</f>
        <v>4391781.74419338</v>
      </c>
      <c r="L141" s="43" t="n">
        <f aca="false">K141+(IF($Q$6=0,0,H117*Regions!O8/$Q$6))-(IF($Q$6=0,0,H118*H116*Regions!O8/$Q$6))-((IF($Q$6=0,0,H117*Regions!O8/$Q$6))*'Five Year'!$D$48)-(Inputs!$D$50*$F$9*(1+Inputs!$D$48)^4/12+IF(Regions!O8&gt;0,(H121-Inputs!$D$50*$F$9*(1+Inputs!$D$48)^4)/COUNTIF(Regions!$G$8:$R$8,"&gt;0"),0))-H122/12-H123/12-H129/12-H131/12-(IF($Q$6=0,0,H117*Regions!O8/$Q$6))*Inputs!$D$52</f>
        <v>4550836.77337729</v>
      </c>
      <c r="M141" s="43" t="n">
        <f aca="false">L141+(IF($Q$6=0,0,H117*Regions!P8/$Q$6))-(IF($Q$6=0,0,H118*H116*Regions!P8/$Q$6))-((IF($Q$6=0,0,H117*Regions!P8/$Q$6))*'Five Year'!$D$48)-(Inputs!$D$50*$F$9*(1+Inputs!$D$48)^4/12+IF(Regions!P8&gt;0,(H121-Inputs!$D$50*$F$9*(1+Inputs!$D$48)^4)/COUNTIF(Regions!$G$8:$R$8,"&gt;0"),0))-H122/12-H123/12-H129/12-H131/12-(IF($Q$6=0,0,H117*Regions!P8/$Q$6))*Inputs!$D$52</f>
        <v>4709891.80256119</v>
      </c>
      <c r="N141" s="43" t="n">
        <f aca="false">M141+(IF($Q$6=0,0,H117*Regions!Q8/$Q$6))-(IF($Q$6=0,0,H118*H116*Regions!Q8/$Q$6))-((IF($Q$6=0,0,H117*Regions!Q8/$Q$6))*'Five Year'!$D$48)-(Inputs!$D$50*$F$9*(1+Inputs!$D$48)^4/12+IF(Regions!Q8&gt;0,(H121-Inputs!$D$50*$F$9*(1+Inputs!$D$48)^4)/COUNTIF(Regions!$G$8:$R$8,"&gt;0"),0))-H122/12-H123/12-H129/12-H131/12-(IF($Q$6=0,0,H117*Regions!Q8/$Q$6))*Inputs!$D$52</f>
        <v>4868946.83174509</v>
      </c>
      <c r="O141" s="43" t="n">
        <f aca="false">N141+(IF($Q$6=0,0,H117*Regions!R8/$Q$6))-(IF($Q$6=0,0,H118*H116*Regions!R8/$Q$6))-((IF($Q$6=0,0,H117*Regions!R8/$Q$6))*'Five Year'!$D$48)-(Inputs!$D$50*$F$9*(1+Inputs!$D$48)^4/12+IF(Regions!R8&gt;0,(H121-Inputs!$D$50*$F$9*(1+Inputs!$D$48)^4)/COUNTIF(Regions!$G$8:$R$8,"&gt;0"),0))-H122/12-H123/12-H129/12-H131/12-(IF($Q$6=0,0,H117*Regions!R8/$Q$6))*Inputs!$D$52</f>
        <v>5028001.860929</v>
      </c>
      <c r="Q141" s="43" t="n">
        <f aca="false">O141</f>
        <v>5028001.860929</v>
      </c>
      <c r="R141" s="43" t="n">
        <f aca="false">MIN(D141:O141)</f>
        <v>3437451.56908996</v>
      </c>
    </row>
    <row r="142" customFormat="false" ht="15" hidden="false" customHeight="true" outlineLevel="0" collapsed="false">
      <c r="B142" s="37" t="s">
        <v>185</v>
      </c>
      <c r="D142" s="43" t="n">
        <f aca="false">MIN(R137:R141)</f>
        <v>156186.072672532</v>
      </c>
    </row>
    <row r="154" customFormat="false" ht="15" hidden="false" customHeight="true" outlineLevel="0" collapsed="false">
      <c r="B154" s="37" t="s">
        <v>188</v>
      </c>
    </row>
    <row r="155" customFormat="false" ht="15" hidden="false" customHeight="true" outlineLevel="0" collapsed="false">
      <c r="D155" s="37" t="s">
        <v>99</v>
      </c>
      <c r="E155" s="37" t="s">
        <v>100</v>
      </c>
      <c r="F155" s="37" t="s">
        <v>101</v>
      </c>
      <c r="G155" s="37" t="s">
        <v>102</v>
      </c>
      <c r="H155" s="37" t="s">
        <v>103</v>
      </c>
    </row>
    <row r="156" customFormat="false" ht="15" hidden="false" customHeight="true" outlineLevel="0" collapsed="false">
      <c r="B156" s="38" t="s">
        <v>104</v>
      </c>
      <c r="D156" s="42" t="n">
        <f aca="false">MAX(0,'Five Year'!D$50-$G$6)</f>
        <v>0.4</v>
      </c>
      <c r="E156" s="42" t="n">
        <f aca="false">MAX(0,'Five Year'!E$50-$G$6)</f>
        <v>0.48</v>
      </c>
      <c r="F156" s="42" t="n">
        <f aca="false">MAX(0,'Five Year'!F$50-$G$6)</f>
        <v>0.55</v>
      </c>
      <c r="G156" s="42" t="n">
        <f aca="false">MAX(0,'Five Year'!G$50-$G$6)</f>
        <v>0.6</v>
      </c>
      <c r="H156" s="42" t="n">
        <f aca="false">MAX(0,'Five Year'!H$50-$G$6)</f>
        <v>0.65</v>
      </c>
    </row>
    <row r="157" customFormat="false" ht="15" hidden="false" customHeight="true" outlineLevel="0" collapsed="false">
      <c r="B157" s="38" t="s">
        <v>106</v>
      </c>
      <c r="D157" s="43" t="n">
        <f aca="false">'Five Year'!$D$49*$G$7*(1+Inputs!$D$49)^0</f>
        <v>6500</v>
      </c>
      <c r="E157" s="43" t="n">
        <f aca="false">'Five Year'!$D$49*$G$7*(1+Inputs!$D$49)^1</f>
        <v>6890</v>
      </c>
      <c r="F157" s="43" t="n">
        <f aca="false">'Five Year'!$D$49*$G$7*(1+Inputs!$D$49)^2</f>
        <v>7303.4</v>
      </c>
      <c r="G157" s="43" t="n">
        <f aca="false">'Five Year'!$D$49*$G$7*(1+Inputs!$D$49)^3</f>
        <v>7741.604</v>
      </c>
      <c r="H157" s="43" t="n">
        <f aca="false">'Five Year'!$D$49*$G$7*(1+Inputs!$D$49)^4</f>
        <v>8206.10024</v>
      </c>
    </row>
    <row r="158" customFormat="false" ht="15" hidden="false" customHeight="true" outlineLevel="0" collapsed="false">
      <c r="B158" s="38" t="s">
        <v>107</v>
      </c>
      <c r="D158" s="44" t="n">
        <f aca="false">Inputs!$D$16*D156</f>
        <v>320</v>
      </c>
      <c r="E158" s="44" t="n">
        <f aca="false">Inputs!$D$16*E156</f>
        <v>384</v>
      </c>
      <c r="F158" s="44" t="n">
        <f aca="false">Inputs!$D$16*F156</f>
        <v>440</v>
      </c>
      <c r="G158" s="44" t="n">
        <f aca="false">Inputs!$D$16*G156</f>
        <v>480</v>
      </c>
      <c r="H158" s="44" t="n">
        <f aca="false">Inputs!$D$16*H156</f>
        <v>520</v>
      </c>
    </row>
    <row r="159" customFormat="false" ht="15" hidden="false" customHeight="true" outlineLevel="0" collapsed="false">
      <c r="B159" s="38" t="s">
        <v>108</v>
      </c>
      <c r="D159" s="43" t="n">
        <f aca="false">D158*D157</f>
        <v>2080000</v>
      </c>
      <c r="E159" s="43" t="n">
        <f aca="false">E158*E157</f>
        <v>2645760</v>
      </c>
      <c r="F159" s="43" t="n">
        <f aca="false">F158*F157</f>
        <v>3213496</v>
      </c>
      <c r="G159" s="43" t="n">
        <f aca="false">G158*G157</f>
        <v>3715969.92</v>
      </c>
      <c r="H159" s="43" t="n">
        <f aca="false">H158*H157</f>
        <v>4267172.1248</v>
      </c>
    </row>
    <row r="160" customFormat="false" ht="15" hidden="false" customHeight="true" outlineLevel="0" collapsed="false">
      <c r="B160" s="38" t="s">
        <v>109</v>
      </c>
      <c r="D160" s="45" t="n">
        <f aca="false">((Inputs!$E$41*'Five Year'!$D$46*$G$10/Capital!$G$6)*(1+Inputs!$D$47)^0+Inputs!$E$42*'Five Year'!$D$46*(1+Inputs!$D$48)^0)*$G$8</f>
        <v>1234.04012154785</v>
      </c>
      <c r="E160" s="45" t="n">
        <f aca="false">((Inputs!$E$41*'Five Year'!$D$46*$G$10/Capital!$G$6)*(1+Inputs!$D$47)^1+Inputs!$E$42*'Five Year'!$D$46*(1+Inputs!$D$48)^1)*$G$8</f>
        <v>1285.58252884072</v>
      </c>
      <c r="F160" s="45" t="n">
        <f aca="false">((Inputs!$E$41*'Five Year'!$D$46*$G$10/Capital!$G$6)*(1+Inputs!$D$47)^2+Inputs!$E$42*'Five Year'!$D$46*(1+Inputs!$D$48)^2)*$G$8</f>
        <v>1339.54248057117</v>
      </c>
      <c r="G160" s="45" t="n">
        <f aca="false">((Inputs!$E$41*'Five Year'!$D$46*$G$10/Capital!$G$6)*(1+Inputs!$D$47)^3+Inputs!$E$42*'Five Year'!$D$46*(1+Inputs!$D$48)^3)*$G$8</f>
        <v>1396.04477940544</v>
      </c>
      <c r="H160" s="45" t="n">
        <f aca="false">((Inputs!$E$41*'Five Year'!$D$46*$G$10/Capital!$G$6)*(1+Inputs!$D$47)^4+Inputs!$E$42*'Five Year'!$D$46*(1+Inputs!$D$48)^4)*$G$8</f>
        <v>1455.22110866976</v>
      </c>
    </row>
    <row r="161" customFormat="false" ht="15" hidden="false" customHeight="true" outlineLevel="0" collapsed="false">
      <c r="B161" s="38" t="s">
        <v>110</v>
      </c>
      <c r="D161" s="43" t="n">
        <f aca="false">D160*D158</f>
        <v>394892.838895313</v>
      </c>
      <c r="E161" s="43" t="n">
        <f aca="false">E160*E158</f>
        <v>493663.691074838</v>
      </c>
      <c r="F161" s="43" t="n">
        <f aca="false">F160*F158</f>
        <v>589398.691451314</v>
      </c>
      <c r="G161" s="43" t="n">
        <f aca="false">G160*G158</f>
        <v>670101.49411461</v>
      </c>
      <c r="H161" s="43" t="n">
        <f aca="false">H160*H158</f>
        <v>756714.976508277</v>
      </c>
    </row>
    <row r="162" customFormat="false" ht="15" hidden="false" customHeight="true" outlineLevel="0" collapsed="false">
      <c r="B162" s="38" t="s">
        <v>111</v>
      </c>
      <c r="D162" s="43" t="n">
        <f aca="false">D159*'Five Year'!$D$48</f>
        <v>249600</v>
      </c>
      <c r="E162" s="43" t="n">
        <f aca="false">E159*'Five Year'!$D$48</f>
        <v>317491.2</v>
      </c>
      <c r="F162" s="43" t="n">
        <f aca="false">F159*'Five Year'!$D$48</f>
        <v>385619.52</v>
      </c>
      <c r="G162" s="43" t="n">
        <f aca="false">G159*'Five Year'!$D$48</f>
        <v>445916.3904</v>
      </c>
      <c r="H162" s="43" t="n">
        <f aca="false">H159*'Five Year'!$D$48</f>
        <v>512060.654976</v>
      </c>
    </row>
    <row r="163" customFormat="false" ht="15" hidden="false" customHeight="true" outlineLevel="0" collapsed="false">
      <c r="B163" s="38" t="s">
        <v>112</v>
      </c>
      <c r="D163" s="43" t="n">
        <f aca="false">MAX(Inputs!$D$50*$G$9*(1+Inputs!$D$48)^0,Inputs!$D$51*D159)</f>
        <v>166400</v>
      </c>
      <c r="E163" s="43" t="n">
        <f aca="false">MAX(Inputs!$D$50*$G$9*(1+Inputs!$D$48)^1,Inputs!$D$51*E159)</f>
        <v>211660.8</v>
      </c>
      <c r="F163" s="43" t="n">
        <f aca="false">MAX(Inputs!$D$50*$G$9*(1+Inputs!$D$48)^2,Inputs!$D$51*F159)</f>
        <v>257079.68</v>
      </c>
      <c r="G163" s="43" t="n">
        <f aca="false">MAX(Inputs!$D$50*$G$9*(1+Inputs!$D$48)^3,Inputs!$D$51*G159)</f>
        <v>297277.5936</v>
      </c>
      <c r="H163" s="43" t="n">
        <f aca="false">MAX(Inputs!$D$50*$G$9*(1+Inputs!$D$48)^4,Inputs!$D$51*H159)</f>
        <v>341373.769984</v>
      </c>
    </row>
    <row r="164" customFormat="false" ht="15" hidden="false" customHeight="true" outlineLevel="0" collapsed="false">
      <c r="B164" s="38" t="s">
        <v>113</v>
      </c>
      <c r="D164" s="43" t="n">
        <f aca="false">((Inputs!$E$28*'Five Year'!$D$47*$G$10/Capital!$G$6)*(1+Inputs!$D$47)^0+Inputs!$E$29*'Five Year'!$D$47*(1+Inputs!$D$48)^0)*$G$8</f>
        <v>454879.66224756</v>
      </c>
      <c r="E164" s="43" t="n">
        <f aca="false">((Inputs!$E$28*'Five Year'!$D$47*$G$10/Capital!$G$6)*(1+Inputs!$D$47)^1+Inputs!$E$29*'Five Year'!$D$47*(1+Inputs!$D$48)^1)*$G$8</f>
        <v>481272.441982413</v>
      </c>
      <c r="F164" s="43" t="n">
        <f aca="false">((Inputs!$E$28*'Five Year'!$D$47*$G$10/Capital!$G$6)*(1+Inputs!$D$47)^2+Inputs!$E$29*'Five Year'!$D$47*(1+Inputs!$D$48)^2)*$G$8</f>
        <v>509221.788501358</v>
      </c>
      <c r="G164" s="43" t="n">
        <f aca="false">((Inputs!$E$28*'Five Year'!$D$47*$G$10/Capital!$G$6)*(1+Inputs!$D$47)^3+Inputs!$E$29*'Five Year'!$D$47*(1+Inputs!$D$48)^3)*$G$8</f>
        <v>538820.28581144</v>
      </c>
      <c r="H164" s="43" t="n">
        <f aca="false">((Inputs!$E$28*'Five Year'!$D$47*$G$10/Capital!$G$6)*(1+Inputs!$D$47)^4+Inputs!$E$29*'Five Year'!$D$47*(1+Inputs!$D$48)^4)*$G$8</f>
        <v>570166.048660126</v>
      </c>
    </row>
    <row r="165" customFormat="false" ht="15" hidden="false" customHeight="true" outlineLevel="0" collapsed="false">
      <c r="B165" s="38" t="s">
        <v>114</v>
      </c>
      <c r="D165" s="43" t="n">
        <f aca="false">Inputs!$E$30*'Five Year'!$D$47*(1+Inputs!$D$48)^0*$G$8</f>
        <v>60000</v>
      </c>
      <c r="E165" s="43" t="n">
        <f aca="false">Inputs!$E$30*'Five Year'!$D$47*(1+Inputs!$D$48)^1*$G$8</f>
        <v>61800</v>
      </c>
      <c r="F165" s="43" t="n">
        <f aca="false">Inputs!$E$30*'Five Year'!$D$47*(1+Inputs!$D$48)^2*$G$8</f>
        <v>63654</v>
      </c>
      <c r="G165" s="43" t="n">
        <f aca="false">Inputs!$E$30*'Five Year'!$D$47*(1+Inputs!$D$48)^3*$G$8</f>
        <v>65563.62</v>
      </c>
      <c r="H165" s="43" t="n">
        <f aca="false">Inputs!$E$30*'Five Year'!$D$47*(1+Inputs!$D$48)^4*$G$8</f>
        <v>67530.5286</v>
      </c>
    </row>
    <row r="166" customFormat="false" ht="15" hidden="false" customHeight="true" outlineLevel="0" collapsed="false">
      <c r="B166" s="37" t="s">
        <v>115</v>
      </c>
      <c r="D166" s="43" t="n">
        <f aca="false">D159-D161-D162-D163-D164-D165</f>
        <v>754227.498857127</v>
      </c>
      <c r="E166" s="43" t="n">
        <f aca="false">E159-E161-E162-E163-E164-E165</f>
        <v>1079871.86694275</v>
      </c>
      <c r="F166" s="43" t="n">
        <f aca="false">F159-F161-F162-F163-F164-F165</f>
        <v>1408522.32004733</v>
      </c>
      <c r="G166" s="43" t="n">
        <f aca="false">G159-G161-G162-G163-G164-G165</f>
        <v>1698290.53607395</v>
      </c>
      <c r="H166" s="43" t="n">
        <f aca="false">H159-H161-H162-H163-H164-H165</f>
        <v>2019326.1460716</v>
      </c>
    </row>
    <row r="167" customFormat="false" ht="15" hidden="false" customHeight="true" outlineLevel="0" collapsed="false">
      <c r="B167" s="38" t="s">
        <v>116</v>
      </c>
      <c r="D167" s="46" t="n">
        <f aca="false">IF(D159=0,0,D166/D159)</f>
        <v>0.362609374450542</v>
      </c>
      <c r="E167" s="46" t="n">
        <f aca="false">IF(E159=0,0,E166/E159)</f>
        <v>0.408151860691351</v>
      </c>
      <c r="F167" s="46" t="n">
        <f aca="false">IF(F159=0,0,F166/F159)</f>
        <v>0.438314633049902</v>
      </c>
      <c r="G167" s="46" t="n">
        <f aca="false">IF(G159=0,0,G166/G159)</f>
        <v>0.457024834063767</v>
      </c>
      <c r="H167" s="46" t="n">
        <f aca="false">IF(H159=0,0,H166/H159)</f>
        <v>0.47322350423496</v>
      </c>
    </row>
    <row r="168" customFormat="false" ht="15" hidden="false" customHeight="true" outlineLevel="0" collapsed="false">
      <c r="B168" s="38" t="s">
        <v>117</v>
      </c>
      <c r="D168" s="43" t="n">
        <f aca="false">D159*Inputs!$D$52</f>
        <v>62400</v>
      </c>
      <c r="E168" s="43" t="n">
        <f aca="false">E159*Inputs!$D$52</f>
        <v>79372.8</v>
      </c>
      <c r="F168" s="43" t="n">
        <f aca="false">F159*Inputs!$D$52</f>
        <v>96404.88</v>
      </c>
      <c r="G168" s="43" t="n">
        <f aca="false">G159*Inputs!$D$52</f>
        <v>111479.0976</v>
      </c>
      <c r="H168" s="43" t="n">
        <f aca="false">H159*Inputs!$D$52</f>
        <v>128015.163744</v>
      </c>
    </row>
    <row r="169" customFormat="false" ht="15" hidden="false" customHeight="true" outlineLevel="0" collapsed="false">
      <c r="B169" s="38" t="s">
        <v>118</v>
      </c>
      <c r="D169" s="43" t="n">
        <f aca="false">'Asset Register'!$J$25+0/5+D168/10</f>
        <v>360837.567268867</v>
      </c>
      <c r="E169" s="43" t="n">
        <f aca="false">'Asset Register'!$J$26+SUM($D168:D168)/5+E168/10</f>
        <v>375014.847268867</v>
      </c>
      <c r="F169" s="43" t="n">
        <f aca="false">'Asset Register'!$J$27+SUM($D168:E168)/5+F168/10</f>
        <v>392592.615268867</v>
      </c>
      <c r="G169" s="43" t="n">
        <f aca="false">'Asset Register'!$J$28+SUM($D168:F168)/5+G168/10</f>
        <v>413381.013028867</v>
      </c>
      <c r="H169" s="43" t="n">
        <f aca="false">'Asset Register'!$J$29+SUM($D168:G168)/5+H168/10</f>
        <v>437330.439163267</v>
      </c>
    </row>
    <row r="170" customFormat="false" ht="15" hidden="false" customHeight="true" outlineLevel="0" collapsed="false">
      <c r="B170" s="38" t="s">
        <v>119</v>
      </c>
      <c r="D170" s="43" t="n">
        <f aca="false">D166-D169</f>
        <v>393389.93158826</v>
      </c>
      <c r="E170" s="43" t="n">
        <f aca="false">E166-E169</f>
        <v>704857.019673882</v>
      </c>
      <c r="F170" s="43" t="n">
        <f aca="false">F166-F169</f>
        <v>1015929.70477846</v>
      </c>
      <c r="G170" s="43" t="n">
        <f aca="false">G166-G169</f>
        <v>1284909.52304508</v>
      </c>
      <c r="H170" s="43" t="n">
        <f aca="false">H166-H169</f>
        <v>1581995.70690833</v>
      </c>
    </row>
    <row r="171" customFormat="false" ht="15" hidden="false" customHeight="true" outlineLevel="0" collapsed="false">
      <c r="B171" s="38" t="s">
        <v>120</v>
      </c>
      <c r="D171" s="43" t="n">
        <f aca="false">MAX(0,D170)*Inputs!$D$54</f>
        <v>118016.979476478</v>
      </c>
      <c r="E171" s="43" t="n">
        <f aca="false">MAX(0,E170)*Inputs!$D$54</f>
        <v>211457.105902165</v>
      </c>
      <c r="F171" s="43" t="n">
        <f aca="false">MAX(0,F170)*Inputs!$D$54</f>
        <v>304778.911433539</v>
      </c>
      <c r="G171" s="43" t="n">
        <f aca="false">MAX(0,G170)*Inputs!$D$54</f>
        <v>385472.856913525</v>
      </c>
      <c r="H171" s="43" t="n">
        <f aca="false">MAX(0,H170)*Inputs!$D$54</f>
        <v>474598.712072499</v>
      </c>
    </row>
    <row r="172" customFormat="false" ht="15" hidden="false" customHeight="true" outlineLevel="0" collapsed="false">
      <c r="B172" s="38" t="s">
        <v>121</v>
      </c>
      <c r="D172" s="43" t="n">
        <f aca="false">D170-D171</f>
        <v>275372.952111782</v>
      </c>
      <c r="E172" s="43" t="n">
        <f aca="false">E170-E171</f>
        <v>493399.913771717</v>
      </c>
      <c r="F172" s="43" t="n">
        <f aca="false">F170-F171</f>
        <v>711150.793344923</v>
      </c>
      <c r="G172" s="43" t="n">
        <f aca="false">G170-G171</f>
        <v>899436.666131559</v>
      </c>
      <c r="H172" s="43" t="n">
        <f aca="false">H170-H171</f>
        <v>1107396.99483583</v>
      </c>
    </row>
    <row r="173" customFormat="false" ht="15" hidden="false" customHeight="true" outlineLevel="0" collapsed="false">
      <c r="B173" s="38" t="s">
        <v>122</v>
      </c>
      <c r="D173" s="43" t="n">
        <f aca="false">(D159-0)*Inputs!$D$53</f>
        <v>104000</v>
      </c>
      <c r="E173" s="43" t="n">
        <f aca="false">(E159-D159)*Inputs!$D$53</f>
        <v>28288</v>
      </c>
      <c r="F173" s="43" t="n">
        <f aca="false">(F159-E159)*Inputs!$D$53</f>
        <v>28386.8</v>
      </c>
      <c r="G173" s="43" t="n">
        <f aca="false">(G159-F159)*Inputs!$D$53</f>
        <v>25123.696</v>
      </c>
      <c r="H173" s="43" t="n">
        <f aca="false">(H159-G159)*Inputs!$D$53</f>
        <v>27560.1102400001</v>
      </c>
    </row>
    <row r="174" customFormat="false" ht="15" hidden="false" customHeight="true" outlineLevel="0" collapsed="false">
      <c r="B174" s="37" t="s">
        <v>123</v>
      </c>
      <c r="D174" s="43" t="n">
        <f aca="false">D166-D171-D168-D173</f>
        <v>469810.519380649</v>
      </c>
      <c r="E174" s="43" t="n">
        <f aca="false">E166-E171-E168-E173</f>
        <v>760753.961040584</v>
      </c>
      <c r="F174" s="43" t="n">
        <f aca="false">F166-F171-F168-F173</f>
        <v>978951.72861379</v>
      </c>
      <c r="G174" s="43" t="n">
        <f aca="false">G166-G171-G168-G173</f>
        <v>1176214.88556043</v>
      </c>
      <c r="H174" s="43" t="n">
        <f aca="false">H166-H171-H168-H173</f>
        <v>1389152.1600151</v>
      </c>
    </row>
    <row r="175" customFormat="false" ht="15" hidden="false" customHeight="true" outlineLevel="0" collapsed="false">
      <c r="B175" s="37" t="s">
        <v>124</v>
      </c>
      <c r="D175" s="43" t="n">
        <f aca="false">Capital!$G$39+D174</f>
        <v>562169.710764734</v>
      </c>
      <c r="E175" s="43" t="n">
        <f aca="false">D175+E174</f>
        <v>1322923.67180532</v>
      </c>
      <c r="F175" s="43" t="n">
        <f aca="false">E175+F174</f>
        <v>2301875.40041911</v>
      </c>
      <c r="G175" s="43" t="n">
        <f aca="false">F175+G174</f>
        <v>3478090.28597953</v>
      </c>
      <c r="H175" s="43" t="n">
        <f aca="false">G175+H174</f>
        <v>4867242.44599463</v>
      </c>
    </row>
    <row r="178" customFormat="false" ht="15" hidden="false" customHeight="true" outlineLevel="0" collapsed="false">
      <c r="B178" s="37" t="s">
        <v>179</v>
      </c>
    </row>
    <row r="179" customFormat="false" ht="15" hidden="false" customHeight="true" outlineLevel="0" collapsed="false">
      <c r="B179" s="38" t="s">
        <v>180</v>
      </c>
      <c r="D179" s="43" t="n">
        <f aca="false">Capital!$G$39+(IF($Q$6=0,0,D159*Regions!G8/$Q$6))-(IF($Q$6=0,0,D160*D158*Regions!G8/$Q$6))-((IF($Q$6=0,0,D159*Regions!G8/$Q$6))*'Five Year'!$D$48)-(Inputs!$D$50*$G$9*(1+Inputs!$D$48)^0/12+IF(Regions!G8&gt;0,(D163-Inputs!$D$50*$G$9*(1+Inputs!$D$48)^0)/COUNTIF(Regions!$G$8:$R$8,"&gt;0"),0))-D164/12-D165/12-D171/12-D173/12-(IF($Q$6=0,0,D159*Regions!G8/$Q$6))*Inputs!$D$52</f>
        <v>22617.8045737481</v>
      </c>
      <c r="E179" s="43" t="n">
        <f aca="false">D179+(IF($Q$6=0,0,D159*Regions!H8/$Q$6))-(IF($Q$6=0,0,D160*D158*Regions!H8/$Q$6))-((IF($Q$6=0,0,D159*Regions!H8/$Q$6))*'Five Year'!$D$48)-(Inputs!$D$50*$G$9*(1+Inputs!$D$48)^0/12+IF(Regions!H8&gt;0,(D163-Inputs!$D$50*$G$9*(1+Inputs!$D$48)^0)/COUNTIF(Regions!$G$8:$R$8,"&gt;0"),0))-D164/12-D165/12-D171/12-D173/12-(IF($Q$6=0,0,D159*Regions!H8/$Q$6))*Inputs!$D$52</f>
        <v>-47123.5822365884</v>
      </c>
      <c r="F179" s="43" t="n">
        <f aca="false">E179+(IF($Q$6=0,0,D159*Regions!I8/$Q$6))-(IF($Q$6=0,0,D160*D158*Regions!I8/$Q$6))-((IF($Q$6=0,0,D159*Regions!I8/$Q$6))*'Five Year'!$D$48)-(Inputs!$D$50*$G$9*(1+Inputs!$D$48)^0/12+IF(Regions!I8&gt;0,(D163-Inputs!$D$50*$G$9*(1+Inputs!$D$48)^0)/COUNTIF(Regions!$G$8:$R$8,"&gt;0"),0))-D164/12-D165/12-D171/12-D173/12-(IF($Q$6=0,0,D159*Regions!I8/$Q$6))*Inputs!$D$52</f>
        <v>13805.7470635438</v>
      </c>
      <c r="G179" s="43" t="n">
        <f aca="false">F179+(IF($Q$6=0,0,D159*Regions!J8/$Q$6))-(IF($Q$6=0,0,D160*D158*Regions!J8/$Q$6))-((IF($Q$6=0,0,D159*Regions!J8/$Q$6))*'Five Year'!$D$48)-(Inputs!$D$50*$G$9*(1+Inputs!$D$48)^0/12+IF(Regions!J8&gt;0,(D163-Inputs!$D$50*$G$9*(1+Inputs!$D$48)^0)/COUNTIF(Regions!$G$8:$R$8,"&gt;0"),0))-D164/12-D165/12-D171/12-D173/12-(IF($Q$6=0,0,D159*Regions!J8/$Q$6))*Inputs!$D$52</f>
        <v>74735.076363676</v>
      </c>
      <c r="H179" s="43" t="n">
        <f aca="false">G179+(IF($Q$6=0,0,D159*Regions!K8/$Q$6))-(IF($Q$6=0,0,D160*D158*Regions!K8/$Q$6))-((IF($Q$6=0,0,D159*Regions!K8/$Q$6))*'Five Year'!$D$48)-(Inputs!$D$50*$G$9*(1+Inputs!$D$48)^0/12+IF(Regions!K8&gt;0,(D163-Inputs!$D$50*$G$9*(1+Inputs!$D$48)^0)/COUNTIF(Regions!$G$8:$R$8,"&gt;0"),0))-D164/12-D165/12-D171/12-D173/12-(IF($Q$6=0,0,D159*Regions!K8/$Q$6))*Inputs!$D$52</f>
        <v>135664.405663808</v>
      </c>
      <c r="I179" s="43" t="n">
        <f aca="false">H179+(IF($Q$6=0,0,D159*Regions!L8/$Q$6))-(IF($Q$6=0,0,D160*D158*Regions!L8/$Q$6))-((IF($Q$6=0,0,D159*Regions!L8/$Q$6))*'Five Year'!$D$48)-(Inputs!$D$50*$G$9*(1+Inputs!$D$48)^0/12+IF(Regions!L8&gt;0,(D163-Inputs!$D$50*$G$9*(1+Inputs!$D$48)^0)/COUNTIF(Regions!$G$8:$R$8,"&gt;0"),0))-D164/12-D165/12-D171/12-D173/12-(IF($Q$6=0,0,D159*Regions!L8/$Q$6))*Inputs!$D$52</f>
        <v>196593.734963941</v>
      </c>
      <c r="J179" s="43" t="n">
        <f aca="false">I179+(IF($Q$6=0,0,D159*Regions!M8/$Q$6))-(IF($Q$6=0,0,D160*D158*Regions!M8/$Q$6))-((IF($Q$6=0,0,D159*Regions!M8/$Q$6))*'Five Year'!$D$48)-(Inputs!$D$50*$G$9*(1+Inputs!$D$48)^0/12+IF(Regions!M8&gt;0,(D163-Inputs!$D$50*$G$9*(1+Inputs!$D$48)^0)/COUNTIF(Regions!$G$8:$R$8,"&gt;0"),0))-D164/12-D165/12-D171/12-D173/12-(IF($Q$6=0,0,D159*Regions!M8/$Q$6))*Inputs!$D$52</f>
        <v>257523.064264073</v>
      </c>
      <c r="K179" s="43" t="n">
        <f aca="false">J179+(IF($Q$6=0,0,D159*Regions!N8/$Q$6))-(IF($Q$6=0,0,D160*D158*Regions!N8/$Q$6))-((IF($Q$6=0,0,D159*Regions!N8/$Q$6))*'Five Year'!$D$48)-(Inputs!$D$50*$G$9*(1+Inputs!$D$48)^0/12+IF(Regions!N8&gt;0,(D163-Inputs!$D$50*$G$9*(1+Inputs!$D$48)^0)/COUNTIF(Regions!$G$8:$R$8,"&gt;0"),0))-D164/12-D165/12-D171/12-D173/12-(IF($Q$6=0,0,D159*Regions!N8/$Q$6))*Inputs!$D$52</f>
        <v>318452.393564205</v>
      </c>
      <c r="L179" s="43" t="n">
        <f aca="false">K179+(IF($Q$6=0,0,D159*Regions!O8/$Q$6))-(IF($Q$6=0,0,D160*D158*Regions!O8/$Q$6))-((IF($Q$6=0,0,D159*Regions!O8/$Q$6))*'Five Year'!$D$48)-(Inputs!$D$50*$G$9*(1+Inputs!$D$48)^0/12+IF(Regions!O8&gt;0,(D163-Inputs!$D$50*$G$9*(1+Inputs!$D$48)^0)/COUNTIF(Regions!$G$8:$R$8,"&gt;0"),0))-D164/12-D165/12-D171/12-D173/12-(IF($Q$6=0,0,D159*Regions!O8/$Q$6))*Inputs!$D$52</f>
        <v>379381.722864337</v>
      </c>
      <c r="M179" s="43" t="n">
        <f aca="false">L179+(IF($Q$6=0,0,D159*Regions!P8/$Q$6))-(IF($Q$6=0,0,D160*D158*Regions!P8/$Q$6))-((IF($Q$6=0,0,D159*Regions!P8/$Q$6))*'Five Year'!$D$48)-(Inputs!$D$50*$G$9*(1+Inputs!$D$48)^0/12+IF(Regions!P8&gt;0,(D163-Inputs!$D$50*$G$9*(1+Inputs!$D$48)^0)/COUNTIF(Regions!$G$8:$R$8,"&gt;0"),0))-D164/12-D165/12-D171/12-D173/12-(IF($Q$6=0,0,D159*Regions!P8/$Q$6))*Inputs!$D$52</f>
        <v>440311.052164469</v>
      </c>
      <c r="N179" s="43" t="n">
        <f aca="false">M179+(IF($Q$6=0,0,D159*Regions!Q8/$Q$6))-(IF($Q$6=0,0,D160*D158*Regions!Q8/$Q$6))-((IF($Q$6=0,0,D159*Regions!Q8/$Q$6))*'Five Year'!$D$48)-(Inputs!$D$50*$G$9*(1+Inputs!$D$48)^0/12+IF(Regions!Q8&gt;0,(D163-Inputs!$D$50*$G$9*(1+Inputs!$D$48)^0)/COUNTIF(Regions!$G$8:$R$8,"&gt;0"),0))-D164/12-D165/12-D171/12-D173/12-(IF($Q$6=0,0,D159*Regions!Q8/$Q$6))*Inputs!$D$52</f>
        <v>501240.381464602</v>
      </c>
      <c r="O179" s="43" t="n">
        <f aca="false">N179+(IF($Q$6=0,0,D159*Regions!R8/$Q$6))-(IF($Q$6=0,0,D160*D158*Regions!R8/$Q$6))-((IF($Q$6=0,0,D159*Regions!R8/$Q$6))*'Five Year'!$D$48)-(Inputs!$D$50*$G$9*(1+Inputs!$D$48)^0/12+IF(Regions!R8&gt;0,(D163-Inputs!$D$50*$G$9*(1+Inputs!$D$48)^0)/COUNTIF(Regions!$G$8:$R$8,"&gt;0"),0))-D164/12-D165/12-D171/12-D173/12-(IF($Q$6=0,0,D159*Regions!R8/$Q$6))*Inputs!$D$52</f>
        <v>562169.710764734</v>
      </c>
      <c r="Q179" s="43" t="n">
        <f aca="false">O179</f>
        <v>562169.710764734</v>
      </c>
      <c r="R179" s="43" t="n">
        <f aca="false">MIN(D179:O179)</f>
        <v>-47123.5822365884</v>
      </c>
    </row>
    <row r="180" customFormat="false" ht="15" hidden="false" customHeight="true" outlineLevel="0" collapsed="false">
      <c r="B180" s="38" t="s">
        <v>181</v>
      </c>
      <c r="D180" s="43" t="n">
        <f aca="false">$Q179+(IF($Q$6=0,0,E159*Regions!G8/$Q$6))-(IF($Q$6=0,0,E160*E158*Regions!G8/$Q$6))-((IF($Q$6=0,0,E159*Regions!G8/$Q$6))*'Five Year'!$D$48)-(Inputs!$D$50*$G$9*(1+Inputs!$D$48)^1/12+IF(Regions!G8&gt;0,(E163-Inputs!$D$50*$G$9*(1+Inputs!$D$48)^1)/COUNTIF(Regions!$G$8:$R$8,"&gt;0"),0))-E164/12-E165/12-E171/12-E173/12-(IF($Q$6=0,0,E159*Regions!G8/$Q$6))*Inputs!$D$52</f>
        <v>488351.581774352</v>
      </c>
      <c r="E180" s="43" t="n">
        <f aca="false">D180+(IF($Q$6=0,0,E159*Regions!H8/$Q$6))-(IF($Q$6=0,0,E160*E158*Regions!H8/$Q$6))-((IF($Q$6=0,0,E159*Regions!H8/$Q$6))*'Five Year'!$D$48)-(Inputs!$D$50*$G$9*(1+Inputs!$D$48)^1/12+IF(Regions!H8&gt;0,(E163-Inputs!$D$50*$G$9*(1+Inputs!$D$48)^1)/COUNTIF(Regions!$G$8:$R$8,"&gt;0"),0))-E164/12-E165/12-E171/12-E173/12-(IF($Q$6=0,0,E159*Regions!H8/$Q$6))*Inputs!$D$52</f>
        <v>414533.452783971</v>
      </c>
      <c r="F180" s="43" t="n">
        <f aca="false">E180+(IF($Q$6=0,0,E159*Regions!I8/$Q$6))-(IF($Q$6=0,0,E160*E158*Regions!I8/$Q$6))-((IF($Q$6=0,0,E159*Regions!I8/$Q$6))*'Five Year'!$D$48)-(Inputs!$D$50*$G$9*(1+Inputs!$D$48)^1/12+IF(Regions!I8&gt;0,(E163-Inputs!$D$50*$G$9*(1+Inputs!$D$48)^1)/COUNTIF(Regions!$G$8:$R$8,"&gt;0"),0))-E164/12-E165/12-E171/12-E173/12-(IF($Q$6=0,0,E159*Regions!I8/$Q$6))*Inputs!$D$52</f>
        <v>505372.474686106</v>
      </c>
      <c r="G180" s="43" t="n">
        <f aca="false">F180+(IF($Q$6=0,0,E159*Regions!J8/$Q$6))-(IF($Q$6=0,0,E160*E158*Regions!J8/$Q$6))-((IF($Q$6=0,0,E159*Regions!J8/$Q$6))*'Five Year'!$D$48)-(Inputs!$D$50*$G$9*(1+Inputs!$D$48)^1/12+IF(Regions!J8&gt;0,(E163-Inputs!$D$50*$G$9*(1+Inputs!$D$48)^1)/COUNTIF(Regions!$G$8:$R$8,"&gt;0"),0))-E164/12-E165/12-E171/12-E173/12-(IF($Q$6=0,0,E159*Regions!J8/$Q$6))*Inputs!$D$52</f>
        <v>596211.49658824</v>
      </c>
      <c r="H180" s="43" t="n">
        <f aca="false">G180+(IF($Q$6=0,0,E159*Regions!K8/$Q$6))-(IF($Q$6=0,0,E160*E158*Regions!K8/$Q$6))-((IF($Q$6=0,0,E159*Regions!K8/$Q$6))*'Five Year'!$D$48)-(Inputs!$D$50*$G$9*(1+Inputs!$D$48)^1/12+IF(Regions!K8&gt;0,(E163-Inputs!$D$50*$G$9*(1+Inputs!$D$48)^1)/COUNTIF(Regions!$G$8:$R$8,"&gt;0"),0))-E164/12-E165/12-E171/12-E173/12-(IF($Q$6=0,0,E159*Regions!K8/$Q$6))*Inputs!$D$52</f>
        <v>687050.518490375</v>
      </c>
      <c r="I180" s="43" t="n">
        <f aca="false">H180+(IF($Q$6=0,0,E159*Regions!L8/$Q$6))-(IF($Q$6=0,0,E160*E158*Regions!L8/$Q$6))-((IF($Q$6=0,0,E159*Regions!L8/$Q$6))*'Five Year'!$D$48)-(Inputs!$D$50*$G$9*(1+Inputs!$D$48)^1/12+IF(Regions!L8&gt;0,(E163-Inputs!$D$50*$G$9*(1+Inputs!$D$48)^1)/COUNTIF(Regions!$G$8:$R$8,"&gt;0"),0))-E164/12-E165/12-E171/12-E173/12-(IF($Q$6=0,0,E159*Regions!L8/$Q$6))*Inputs!$D$52</f>
        <v>777889.54039251</v>
      </c>
      <c r="J180" s="43" t="n">
        <f aca="false">I180+(IF($Q$6=0,0,E159*Regions!M8/$Q$6))-(IF($Q$6=0,0,E160*E158*Regions!M8/$Q$6))-((IF($Q$6=0,0,E159*Regions!M8/$Q$6))*'Five Year'!$D$48)-(Inputs!$D$50*$G$9*(1+Inputs!$D$48)^1/12+IF(Regions!M8&gt;0,(E163-Inputs!$D$50*$G$9*(1+Inputs!$D$48)^1)/COUNTIF(Regions!$G$8:$R$8,"&gt;0"),0))-E164/12-E165/12-E171/12-E173/12-(IF($Q$6=0,0,E159*Regions!M8/$Q$6))*Inputs!$D$52</f>
        <v>868728.562294644</v>
      </c>
      <c r="K180" s="43" t="n">
        <f aca="false">J180+(IF($Q$6=0,0,E159*Regions!N8/$Q$6))-(IF($Q$6=0,0,E160*E158*Regions!N8/$Q$6))-((IF($Q$6=0,0,E159*Regions!N8/$Q$6))*'Five Year'!$D$48)-(Inputs!$D$50*$G$9*(1+Inputs!$D$48)^1/12+IF(Regions!N8&gt;0,(E163-Inputs!$D$50*$G$9*(1+Inputs!$D$48)^1)/COUNTIF(Regions!$G$8:$R$8,"&gt;0"),0))-E164/12-E165/12-E171/12-E173/12-(IF($Q$6=0,0,E159*Regions!N8/$Q$6))*Inputs!$D$52</f>
        <v>959567.584196779</v>
      </c>
      <c r="L180" s="43" t="n">
        <f aca="false">K180+(IF($Q$6=0,0,E159*Regions!O8/$Q$6))-(IF($Q$6=0,0,E160*E158*Regions!O8/$Q$6))-((IF($Q$6=0,0,E159*Regions!O8/$Q$6))*'Five Year'!$D$48)-(Inputs!$D$50*$G$9*(1+Inputs!$D$48)^1/12+IF(Regions!O8&gt;0,(E163-Inputs!$D$50*$G$9*(1+Inputs!$D$48)^1)/COUNTIF(Regions!$G$8:$R$8,"&gt;0"),0))-E164/12-E165/12-E171/12-E173/12-(IF($Q$6=0,0,E159*Regions!O8/$Q$6))*Inputs!$D$52</f>
        <v>1050406.60609891</v>
      </c>
      <c r="M180" s="43" t="n">
        <f aca="false">L180+(IF($Q$6=0,0,E159*Regions!P8/$Q$6))-(IF($Q$6=0,0,E160*E158*Regions!P8/$Q$6))-((IF($Q$6=0,0,E159*Regions!P8/$Q$6))*'Five Year'!$D$48)-(Inputs!$D$50*$G$9*(1+Inputs!$D$48)^1/12+IF(Regions!P8&gt;0,(E163-Inputs!$D$50*$G$9*(1+Inputs!$D$48)^1)/COUNTIF(Regions!$G$8:$R$8,"&gt;0"),0))-E164/12-E165/12-E171/12-E173/12-(IF($Q$6=0,0,E159*Regions!P8/$Q$6))*Inputs!$D$52</f>
        <v>1141245.62800105</v>
      </c>
      <c r="N180" s="43" t="n">
        <f aca="false">M180+(IF($Q$6=0,0,E159*Regions!Q8/$Q$6))-(IF($Q$6=0,0,E160*E158*Regions!Q8/$Q$6))-((IF($Q$6=0,0,E159*Regions!Q8/$Q$6))*'Five Year'!$D$48)-(Inputs!$D$50*$G$9*(1+Inputs!$D$48)^1/12+IF(Regions!Q8&gt;0,(E163-Inputs!$D$50*$G$9*(1+Inputs!$D$48)^1)/COUNTIF(Regions!$G$8:$R$8,"&gt;0"),0))-E164/12-E165/12-E171/12-E173/12-(IF($Q$6=0,0,E159*Regions!Q8/$Q$6))*Inputs!$D$52</f>
        <v>1232084.64990318</v>
      </c>
      <c r="O180" s="43" t="n">
        <f aca="false">N180+(IF($Q$6=0,0,E159*Regions!R8/$Q$6))-(IF($Q$6=0,0,E160*E158*Regions!R8/$Q$6))-((IF($Q$6=0,0,E159*Regions!R8/$Q$6))*'Five Year'!$D$48)-(Inputs!$D$50*$G$9*(1+Inputs!$D$48)^1/12+IF(Regions!R8&gt;0,(E163-Inputs!$D$50*$G$9*(1+Inputs!$D$48)^1)/COUNTIF(Regions!$G$8:$R$8,"&gt;0"),0))-E164/12-E165/12-E171/12-E173/12-(IF($Q$6=0,0,E159*Regions!R8/$Q$6))*Inputs!$D$52</f>
        <v>1322923.67180532</v>
      </c>
      <c r="Q180" s="43" t="n">
        <f aca="false">O180</f>
        <v>1322923.67180532</v>
      </c>
      <c r="R180" s="43" t="n">
        <f aca="false">MIN(D180:O180)</f>
        <v>414533.452783971</v>
      </c>
    </row>
    <row r="181" customFormat="false" ht="15" hidden="false" customHeight="true" outlineLevel="0" collapsed="false">
      <c r="B181" s="38" t="s">
        <v>182</v>
      </c>
      <c r="D181" s="43" t="n">
        <f aca="false">$Q180+(IF($Q$6=0,0,F159*Regions!G8/$Q$6))-(IF($Q$6=0,0,F160*F158*Regions!G8/$Q$6))-((IF($Q$6=0,0,F159*Regions!G8/$Q$6))*'Five Year'!$D$48)-(Inputs!$D$50*$G$9*(1+Inputs!$D$48)^2/12+IF(Regions!G8&gt;0,(F163-Inputs!$D$50*$G$9*(1+Inputs!$D$48)^2)/COUNTIF(Regions!$G$8:$R$8,"&gt;0"),0))-F164/12-F165/12-F171/12-F173/12-(IF($Q$6=0,0,F159*Regions!G8/$Q$6))*Inputs!$D$52</f>
        <v>1238579.38014408</v>
      </c>
      <c r="E181" s="43" t="n">
        <f aca="false">D181+(IF($Q$6=0,0,F159*Regions!H8/$Q$6))-(IF($Q$6=0,0,F160*F158*Regions!H8/$Q$6))-((IF($Q$6=0,0,F159*Regions!H8/$Q$6))*'Five Year'!$D$48)-(Inputs!$D$50*$G$9*(1+Inputs!$D$48)^2/12+IF(Regions!H8&gt;0,(F163-Inputs!$D$50*$G$9*(1+Inputs!$D$48)^2)/COUNTIF(Regions!$G$8:$R$8,"&gt;0"),0))-F164/12-F165/12-F171/12-F173/12-(IF($Q$6=0,0,F159*Regions!H8/$Q$6))*Inputs!$D$52</f>
        <v>1154235.08848283</v>
      </c>
      <c r="F181" s="43" t="n">
        <f aca="false">E181+(IF($Q$6=0,0,F159*Regions!I8/$Q$6))-(IF($Q$6=0,0,F160*F158*Regions!I8/$Q$6))-((IF($Q$6=0,0,F159*Regions!I8/$Q$6))*'Five Year'!$D$48)-(Inputs!$D$50*$G$9*(1+Inputs!$D$48)^2/12+IF(Regions!I8&gt;0,(F163-Inputs!$D$50*$G$9*(1+Inputs!$D$48)^2)/COUNTIF(Regions!$G$8:$R$8,"&gt;0"),0))-F164/12-F165/12-F171/12-F173/12-(IF($Q$6=0,0,F159*Regions!I8/$Q$6))*Inputs!$D$52</f>
        <v>1268999.11967646</v>
      </c>
      <c r="G181" s="43" t="n">
        <f aca="false">F181+(IF($Q$6=0,0,F159*Regions!J8/$Q$6))-(IF($Q$6=0,0,F160*F158*Regions!J8/$Q$6))-((IF($Q$6=0,0,F159*Regions!J8/$Q$6))*'Five Year'!$D$48)-(Inputs!$D$50*$G$9*(1+Inputs!$D$48)^2/12+IF(Regions!J8&gt;0,(F163-Inputs!$D$50*$G$9*(1+Inputs!$D$48)^2)/COUNTIF(Regions!$G$8:$R$8,"&gt;0"),0))-F164/12-F165/12-F171/12-F173/12-(IF($Q$6=0,0,F159*Regions!J8/$Q$6))*Inputs!$D$52</f>
        <v>1383763.15087009</v>
      </c>
      <c r="H181" s="43" t="n">
        <f aca="false">G181+(IF($Q$6=0,0,F159*Regions!K8/$Q$6))-(IF($Q$6=0,0,F160*F158*Regions!K8/$Q$6))-((IF($Q$6=0,0,F159*Regions!K8/$Q$6))*'Five Year'!$D$48)-(Inputs!$D$50*$G$9*(1+Inputs!$D$48)^2/12+IF(Regions!K8&gt;0,(F163-Inputs!$D$50*$G$9*(1+Inputs!$D$48)^2)/COUNTIF(Regions!$G$8:$R$8,"&gt;0"),0))-F164/12-F165/12-F171/12-F173/12-(IF($Q$6=0,0,F159*Regions!K8/$Q$6))*Inputs!$D$52</f>
        <v>1498527.18206372</v>
      </c>
      <c r="I181" s="43" t="n">
        <f aca="false">H181+(IF($Q$6=0,0,F159*Regions!L8/$Q$6))-(IF($Q$6=0,0,F160*F158*Regions!L8/$Q$6))-((IF($Q$6=0,0,F159*Regions!L8/$Q$6))*'Five Year'!$D$48)-(Inputs!$D$50*$G$9*(1+Inputs!$D$48)^2/12+IF(Regions!L8&gt;0,(F163-Inputs!$D$50*$G$9*(1+Inputs!$D$48)^2)/COUNTIF(Regions!$G$8:$R$8,"&gt;0"),0))-F164/12-F165/12-F171/12-F173/12-(IF($Q$6=0,0,F159*Regions!L8/$Q$6))*Inputs!$D$52</f>
        <v>1613291.21325734</v>
      </c>
      <c r="J181" s="43" t="n">
        <f aca="false">I181+(IF($Q$6=0,0,F159*Regions!M8/$Q$6))-(IF($Q$6=0,0,F160*F158*Regions!M8/$Q$6))-((IF($Q$6=0,0,F159*Regions!M8/$Q$6))*'Five Year'!$D$48)-(Inputs!$D$50*$G$9*(1+Inputs!$D$48)^2/12+IF(Regions!M8&gt;0,(F163-Inputs!$D$50*$G$9*(1+Inputs!$D$48)^2)/COUNTIF(Regions!$G$8:$R$8,"&gt;0"),0))-F164/12-F165/12-F171/12-F173/12-(IF($Q$6=0,0,F159*Regions!M8/$Q$6))*Inputs!$D$52</f>
        <v>1728055.24445097</v>
      </c>
      <c r="K181" s="43" t="n">
        <f aca="false">J181+(IF($Q$6=0,0,F159*Regions!N8/$Q$6))-(IF($Q$6=0,0,F160*F158*Regions!N8/$Q$6))-((IF($Q$6=0,0,F159*Regions!N8/$Q$6))*'Five Year'!$D$48)-(Inputs!$D$50*$G$9*(1+Inputs!$D$48)^2/12+IF(Regions!N8&gt;0,(F163-Inputs!$D$50*$G$9*(1+Inputs!$D$48)^2)/COUNTIF(Regions!$G$8:$R$8,"&gt;0"),0))-F164/12-F165/12-F171/12-F173/12-(IF($Q$6=0,0,F159*Regions!N8/$Q$6))*Inputs!$D$52</f>
        <v>1842819.2756446</v>
      </c>
      <c r="L181" s="43" t="n">
        <f aca="false">K181+(IF($Q$6=0,0,F159*Regions!O8/$Q$6))-(IF($Q$6=0,0,F160*F158*Regions!O8/$Q$6))-((IF($Q$6=0,0,F159*Regions!O8/$Q$6))*'Five Year'!$D$48)-(Inputs!$D$50*$G$9*(1+Inputs!$D$48)^2/12+IF(Regions!O8&gt;0,(F163-Inputs!$D$50*$G$9*(1+Inputs!$D$48)^2)/COUNTIF(Regions!$G$8:$R$8,"&gt;0"),0))-F164/12-F165/12-F171/12-F173/12-(IF($Q$6=0,0,F159*Regions!O8/$Q$6))*Inputs!$D$52</f>
        <v>1957583.30683822</v>
      </c>
      <c r="M181" s="43" t="n">
        <f aca="false">L181+(IF($Q$6=0,0,F159*Regions!P8/$Q$6))-(IF($Q$6=0,0,F160*F158*Regions!P8/$Q$6))-((IF($Q$6=0,0,F159*Regions!P8/$Q$6))*'Five Year'!$D$48)-(Inputs!$D$50*$G$9*(1+Inputs!$D$48)^2/12+IF(Regions!P8&gt;0,(F163-Inputs!$D$50*$G$9*(1+Inputs!$D$48)^2)/COUNTIF(Regions!$G$8:$R$8,"&gt;0"),0))-F164/12-F165/12-F171/12-F173/12-(IF($Q$6=0,0,F159*Regions!P8/$Q$6))*Inputs!$D$52</f>
        <v>2072347.33803185</v>
      </c>
      <c r="N181" s="43" t="n">
        <f aca="false">M181+(IF($Q$6=0,0,F159*Regions!Q8/$Q$6))-(IF($Q$6=0,0,F160*F158*Regions!Q8/$Q$6))-((IF($Q$6=0,0,F159*Regions!Q8/$Q$6))*'Five Year'!$D$48)-(Inputs!$D$50*$G$9*(1+Inputs!$D$48)^2/12+IF(Regions!Q8&gt;0,(F163-Inputs!$D$50*$G$9*(1+Inputs!$D$48)^2)/COUNTIF(Regions!$G$8:$R$8,"&gt;0"),0))-F164/12-F165/12-F171/12-F173/12-(IF($Q$6=0,0,F159*Regions!Q8/$Q$6))*Inputs!$D$52</f>
        <v>2187111.36922548</v>
      </c>
      <c r="O181" s="43" t="n">
        <f aca="false">N181+(IF($Q$6=0,0,F159*Regions!R8/$Q$6))-(IF($Q$6=0,0,F160*F158*Regions!R8/$Q$6))-((IF($Q$6=0,0,F159*Regions!R8/$Q$6))*'Five Year'!$D$48)-(Inputs!$D$50*$G$9*(1+Inputs!$D$48)^2/12+IF(Regions!R8&gt;0,(F163-Inputs!$D$50*$G$9*(1+Inputs!$D$48)^2)/COUNTIF(Regions!$G$8:$R$8,"&gt;0"),0))-F164/12-F165/12-F171/12-F173/12-(IF($Q$6=0,0,F159*Regions!R8/$Q$6))*Inputs!$D$52</f>
        <v>2301875.40041911</v>
      </c>
      <c r="Q181" s="43" t="n">
        <f aca="false">O181</f>
        <v>2301875.40041911</v>
      </c>
      <c r="R181" s="43" t="n">
        <f aca="false">MIN(D181:O181)</f>
        <v>1154235.08848283</v>
      </c>
    </row>
    <row r="182" customFormat="false" ht="15" hidden="false" customHeight="true" outlineLevel="0" collapsed="false">
      <c r="B182" s="38" t="s">
        <v>183</v>
      </c>
      <c r="D182" s="43" t="n">
        <f aca="false">$Q181+(IF($Q$6=0,0,G159*Regions!G8/$Q$6))-(IF($Q$6=0,0,G160*G158*Regions!G8/$Q$6))-((IF($Q$6=0,0,G159*Regions!G8/$Q$6))*'Five Year'!$D$48)-(Inputs!$D$50*$G$9*(1+Inputs!$D$48)^3/12+IF(Regions!G8&gt;0,(G163-Inputs!$D$50*$G$9*(1+Inputs!$D$48)^3)/COUNTIF(Regions!$G$8:$R$8,"&gt;0"),0))-G164/12-G165/12-G171/12-G173/12-(IF($Q$6=0,0,G159*Regions!G8/$Q$6))*Inputs!$D$52</f>
        <v>2208187.63719203</v>
      </c>
      <c r="E182" s="43" t="n">
        <f aca="false">D182+(IF($Q$6=0,0,G159*Regions!H8/$Q$6))-(IF($Q$6=0,0,G160*G158*Regions!H8/$Q$6))-((IF($Q$6=0,0,G159*Regions!H8/$Q$6))*'Five Year'!$D$48)-(Inputs!$D$50*$G$9*(1+Inputs!$D$48)^3/12+IF(Regions!H8&gt;0,(G163-Inputs!$D$50*$G$9*(1+Inputs!$D$48)^3)/COUNTIF(Regions!$G$8:$R$8,"&gt;0"),0))-G164/12-G165/12-G171/12-G173/12-(IF($Q$6=0,0,G159*Regions!H8/$Q$6))*Inputs!$D$52</f>
        <v>2114499.87396495</v>
      </c>
      <c r="F182" s="43" t="n">
        <f aca="false">E182+(IF($Q$6=0,0,G159*Regions!I8/$Q$6))-(IF($Q$6=0,0,G160*G158*Regions!I8/$Q$6))-((IF($Q$6=0,0,G159*Regions!I8/$Q$6))*'Five Year'!$D$48)-(Inputs!$D$50*$G$9*(1+Inputs!$D$48)^3/12+IF(Regions!I8&gt;0,(G163-Inputs!$D$50*$G$9*(1+Inputs!$D$48)^3)/COUNTIF(Regions!$G$8:$R$8,"&gt;0"),0))-G164/12-G165/12-G171/12-G173/12-(IF($Q$6=0,0,G159*Regions!I8/$Q$6))*Inputs!$D$52</f>
        <v>2250858.91516641</v>
      </c>
      <c r="G182" s="43" t="n">
        <f aca="false">F182+(IF($Q$6=0,0,G159*Regions!J8/$Q$6))-(IF($Q$6=0,0,G160*G158*Regions!J8/$Q$6))-((IF($Q$6=0,0,G159*Regions!J8/$Q$6))*'Five Year'!$D$48)-(Inputs!$D$50*$G$9*(1+Inputs!$D$48)^3/12+IF(Regions!J8&gt;0,(G163-Inputs!$D$50*$G$9*(1+Inputs!$D$48)^3)/COUNTIF(Regions!$G$8:$R$8,"&gt;0"),0))-G164/12-G165/12-G171/12-G173/12-(IF($Q$6=0,0,G159*Regions!J8/$Q$6))*Inputs!$D$52</f>
        <v>2387217.95636787</v>
      </c>
      <c r="H182" s="43" t="n">
        <f aca="false">G182+(IF($Q$6=0,0,G159*Regions!K8/$Q$6))-(IF($Q$6=0,0,G160*G158*Regions!K8/$Q$6))-((IF($Q$6=0,0,G159*Regions!K8/$Q$6))*'Five Year'!$D$48)-(Inputs!$D$50*$G$9*(1+Inputs!$D$48)^3/12+IF(Regions!K8&gt;0,(G163-Inputs!$D$50*$G$9*(1+Inputs!$D$48)^3)/COUNTIF(Regions!$G$8:$R$8,"&gt;0"),0))-G164/12-G165/12-G171/12-G173/12-(IF($Q$6=0,0,G159*Regions!K8/$Q$6))*Inputs!$D$52</f>
        <v>2523576.99756933</v>
      </c>
      <c r="I182" s="43" t="n">
        <f aca="false">H182+(IF($Q$6=0,0,G159*Regions!L8/$Q$6))-(IF($Q$6=0,0,G160*G158*Regions!L8/$Q$6))-((IF($Q$6=0,0,G159*Regions!L8/$Q$6))*'Five Year'!$D$48)-(Inputs!$D$50*$G$9*(1+Inputs!$D$48)^3/12+IF(Regions!L8&gt;0,(G163-Inputs!$D$50*$G$9*(1+Inputs!$D$48)^3)/COUNTIF(Regions!$G$8:$R$8,"&gt;0"),0))-G164/12-G165/12-G171/12-G173/12-(IF($Q$6=0,0,G159*Regions!L8/$Q$6))*Inputs!$D$52</f>
        <v>2659936.03877078</v>
      </c>
      <c r="J182" s="43" t="n">
        <f aca="false">I182+(IF($Q$6=0,0,G159*Regions!M8/$Q$6))-(IF($Q$6=0,0,G160*G158*Regions!M8/$Q$6))-((IF($Q$6=0,0,G159*Regions!M8/$Q$6))*'Five Year'!$D$48)-(Inputs!$D$50*$G$9*(1+Inputs!$D$48)^3/12+IF(Regions!M8&gt;0,(G163-Inputs!$D$50*$G$9*(1+Inputs!$D$48)^3)/COUNTIF(Regions!$G$8:$R$8,"&gt;0"),0))-G164/12-G165/12-G171/12-G173/12-(IF($Q$6=0,0,G159*Regions!M8/$Q$6))*Inputs!$D$52</f>
        <v>2796295.07997224</v>
      </c>
      <c r="K182" s="43" t="n">
        <f aca="false">J182+(IF($Q$6=0,0,G159*Regions!N8/$Q$6))-(IF($Q$6=0,0,G160*G158*Regions!N8/$Q$6))-((IF($Q$6=0,0,G159*Regions!N8/$Q$6))*'Five Year'!$D$48)-(Inputs!$D$50*$G$9*(1+Inputs!$D$48)^3/12+IF(Regions!N8&gt;0,(G163-Inputs!$D$50*$G$9*(1+Inputs!$D$48)^3)/COUNTIF(Regions!$G$8:$R$8,"&gt;0"),0))-G164/12-G165/12-G171/12-G173/12-(IF($Q$6=0,0,G159*Regions!N8/$Q$6))*Inputs!$D$52</f>
        <v>2932654.1211737</v>
      </c>
      <c r="L182" s="43" t="n">
        <f aca="false">K182+(IF($Q$6=0,0,G159*Regions!O8/$Q$6))-(IF($Q$6=0,0,G160*G158*Regions!O8/$Q$6))-((IF($Q$6=0,0,G159*Regions!O8/$Q$6))*'Five Year'!$D$48)-(Inputs!$D$50*$G$9*(1+Inputs!$D$48)^3/12+IF(Regions!O8&gt;0,(G163-Inputs!$D$50*$G$9*(1+Inputs!$D$48)^3)/COUNTIF(Regions!$G$8:$R$8,"&gt;0"),0))-G164/12-G165/12-G171/12-G173/12-(IF($Q$6=0,0,G159*Regions!O8/$Q$6))*Inputs!$D$52</f>
        <v>3069013.16237516</v>
      </c>
      <c r="M182" s="43" t="n">
        <f aca="false">L182+(IF($Q$6=0,0,G159*Regions!P8/$Q$6))-(IF($Q$6=0,0,G160*G158*Regions!P8/$Q$6))-((IF($Q$6=0,0,G159*Regions!P8/$Q$6))*'Five Year'!$D$48)-(Inputs!$D$50*$G$9*(1+Inputs!$D$48)^3/12+IF(Regions!P8&gt;0,(G163-Inputs!$D$50*$G$9*(1+Inputs!$D$48)^3)/COUNTIF(Regions!$G$8:$R$8,"&gt;0"),0))-G164/12-G165/12-G171/12-G173/12-(IF($Q$6=0,0,G159*Regions!P8/$Q$6))*Inputs!$D$52</f>
        <v>3205372.20357662</v>
      </c>
      <c r="N182" s="43" t="n">
        <f aca="false">M182+(IF($Q$6=0,0,G159*Regions!Q8/$Q$6))-(IF($Q$6=0,0,G160*G158*Regions!Q8/$Q$6))-((IF($Q$6=0,0,G159*Regions!Q8/$Q$6))*'Five Year'!$D$48)-(Inputs!$D$50*$G$9*(1+Inputs!$D$48)^3/12+IF(Regions!Q8&gt;0,(G163-Inputs!$D$50*$G$9*(1+Inputs!$D$48)^3)/COUNTIF(Regions!$G$8:$R$8,"&gt;0"),0))-G164/12-G165/12-G171/12-G173/12-(IF($Q$6=0,0,G159*Regions!Q8/$Q$6))*Inputs!$D$52</f>
        <v>3341731.24477808</v>
      </c>
      <c r="O182" s="43" t="n">
        <f aca="false">N182+(IF($Q$6=0,0,G159*Regions!R8/$Q$6))-(IF($Q$6=0,0,G160*G158*Regions!R8/$Q$6))-((IF($Q$6=0,0,G159*Regions!R8/$Q$6))*'Five Year'!$D$48)-(Inputs!$D$50*$G$9*(1+Inputs!$D$48)^3/12+IF(Regions!R8&gt;0,(G163-Inputs!$D$50*$G$9*(1+Inputs!$D$48)^3)/COUNTIF(Regions!$G$8:$R$8,"&gt;0"),0))-G164/12-G165/12-G171/12-G173/12-(IF($Q$6=0,0,G159*Regions!R8/$Q$6))*Inputs!$D$52</f>
        <v>3478090.28597954</v>
      </c>
      <c r="Q182" s="43" t="n">
        <f aca="false">O182</f>
        <v>3478090.28597954</v>
      </c>
      <c r="R182" s="43" t="n">
        <f aca="false">MIN(D182:O182)</f>
        <v>2114499.87396495</v>
      </c>
    </row>
    <row r="183" customFormat="false" ht="15" hidden="false" customHeight="true" outlineLevel="0" collapsed="false">
      <c r="B183" s="38" t="s">
        <v>184</v>
      </c>
      <c r="D183" s="43" t="n">
        <f aca="false">$Q182+(IF($Q$6=0,0,H159*Regions!G8/$Q$6))-(IF($Q$6=0,0,H160*H158*Regions!G8/$Q$6))-((IF($Q$6=0,0,H159*Regions!G8/$Q$6))*'Five Year'!$D$48)-(Inputs!$D$50*$G$9*(1+Inputs!$D$48)^4/12+IF(Regions!G8&gt;0,(H163-Inputs!$D$50*$G$9*(1+Inputs!$D$48)^4)/COUNTIF(Regions!$G$8:$R$8,"&gt;0"),0))-H164/12-H165/12-H171/12-H173/12-(IF($Q$6=0,0,H159*Regions!G8/$Q$6))*Inputs!$D$52</f>
        <v>3373723.09593182</v>
      </c>
      <c r="E183" s="43" t="n">
        <f aca="false">D183+(IF($Q$6=0,0,H159*Regions!H8/$Q$6))-(IF($Q$6=0,0,H160*H158*Regions!H8/$Q$6))-((IF($Q$6=0,0,H159*Regions!H8/$Q$6))*'Five Year'!$D$48)-(Inputs!$D$50*$G$9*(1+Inputs!$D$48)^4/12+IF(Regions!H8&gt;0,(H163-Inputs!$D$50*$G$9*(1+Inputs!$D$48)^4)/COUNTIF(Regions!$G$8:$R$8,"&gt;0"),0))-H164/12-H165/12-H171/12-H173/12-(IF($Q$6=0,0,H159*Regions!H8/$Q$6))*Inputs!$D$52</f>
        <v>3269355.9058841</v>
      </c>
      <c r="F183" s="43" t="n">
        <f aca="false">E183+(IF($Q$6=0,0,H159*Regions!I8/$Q$6))-(IF($Q$6=0,0,H160*H158*Regions!I8/$Q$6))-((IF($Q$6=0,0,H159*Regions!I8/$Q$6))*'Five Year'!$D$48)-(Inputs!$D$50*$G$9*(1+Inputs!$D$48)^4/12+IF(Regions!I8&gt;0,(H163-Inputs!$D$50*$G$9*(1+Inputs!$D$48)^4)/COUNTIF(Regions!$G$8:$R$8,"&gt;0"),0))-H164/12-H165/12-H171/12-H173/12-(IF($Q$6=0,0,H159*Regions!I8/$Q$6))*Inputs!$D$52</f>
        <v>3429144.55989516</v>
      </c>
      <c r="G183" s="43" t="n">
        <f aca="false">F183+(IF($Q$6=0,0,H159*Regions!J8/$Q$6))-(IF($Q$6=0,0,H160*H158*Regions!J8/$Q$6))-((IF($Q$6=0,0,H159*Regions!J8/$Q$6))*'Five Year'!$D$48)-(Inputs!$D$50*$G$9*(1+Inputs!$D$48)^4/12+IF(Regions!J8&gt;0,(H163-Inputs!$D$50*$G$9*(1+Inputs!$D$48)^4)/COUNTIF(Regions!$G$8:$R$8,"&gt;0"),0))-H164/12-H165/12-H171/12-H173/12-(IF($Q$6=0,0,H159*Regions!J8/$Q$6))*Inputs!$D$52</f>
        <v>3588933.21390621</v>
      </c>
      <c r="H183" s="43" t="n">
        <f aca="false">G183+(IF($Q$6=0,0,H159*Regions!K8/$Q$6))-(IF($Q$6=0,0,H160*H158*Regions!K8/$Q$6))-((IF($Q$6=0,0,H159*Regions!K8/$Q$6))*'Five Year'!$D$48)-(Inputs!$D$50*$G$9*(1+Inputs!$D$48)^4/12+IF(Regions!K8&gt;0,(H163-Inputs!$D$50*$G$9*(1+Inputs!$D$48)^4)/COUNTIF(Regions!$G$8:$R$8,"&gt;0"),0))-H164/12-H165/12-H171/12-H173/12-(IF($Q$6=0,0,H159*Regions!K8/$Q$6))*Inputs!$D$52</f>
        <v>3748721.86791726</v>
      </c>
      <c r="I183" s="43" t="n">
        <f aca="false">H183+(IF($Q$6=0,0,H159*Regions!L8/$Q$6))-(IF($Q$6=0,0,H160*H158*Regions!L8/$Q$6))-((IF($Q$6=0,0,H159*Regions!L8/$Q$6))*'Five Year'!$D$48)-(Inputs!$D$50*$G$9*(1+Inputs!$D$48)^4/12+IF(Regions!L8&gt;0,(H163-Inputs!$D$50*$G$9*(1+Inputs!$D$48)^4)/COUNTIF(Regions!$G$8:$R$8,"&gt;0"),0))-H164/12-H165/12-H171/12-H173/12-(IF($Q$6=0,0,H159*Regions!L8/$Q$6))*Inputs!$D$52</f>
        <v>3908510.52192832</v>
      </c>
      <c r="J183" s="43" t="n">
        <f aca="false">I183+(IF($Q$6=0,0,H159*Regions!M8/$Q$6))-(IF($Q$6=0,0,H160*H158*Regions!M8/$Q$6))-((IF($Q$6=0,0,H159*Regions!M8/$Q$6))*'Five Year'!$D$48)-(Inputs!$D$50*$G$9*(1+Inputs!$D$48)^4/12+IF(Regions!M8&gt;0,(H163-Inputs!$D$50*$G$9*(1+Inputs!$D$48)^4)/COUNTIF(Regions!$G$8:$R$8,"&gt;0"),0))-H164/12-H165/12-H171/12-H173/12-(IF($Q$6=0,0,H159*Regions!M8/$Q$6))*Inputs!$D$52</f>
        <v>4068299.17593937</v>
      </c>
      <c r="K183" s="43" t="n">
        <f aca="false">J183+(IF($Q$6=0,0,H159*Regions!N8/$Q$6))-(IF($Q$6=0,0,H160*H158*Regions!N8/$Q$6))-((IF($Q$6=0,0,H159*Regions!N8/$Q$6))*'Five Year'!$D$48)-(Inputs!$D$50*$G$9*(1+Inputs!$D$48)^4/12+IF(Regions!N8&gt;0,(H163-Inputs!$D$50*$G$9*(1+Inputs!$D$48)^4)/COUNTIF(Regions!$G$8:$R$8,"&gt;0"),0))-H164/12-H165/12-H171/12-H173/12-(IF($Q$6=0,0,H159*Regions!N8/$Q$6))*Inputs!$D$52</f>
        <v>4228087.82995043</v>
      </c>
      <c r="L183" s="43" t="n">
        <f aca="false">K183+(IF($Q$6=0,0,H159*Regions!O8/$Q$6))-(IF($Q$6=0,0,H160*H158*Regions!O8/$Q$6))-((IF($Q$6=0,0,H159*Regions!O8/$Q$6))*'Five Year'!$D$48)-(Inputs!$D$50*$G$9*(1+Inputs!$D$48)^4/12+IF(Regions!O8&gt;0,(H163-Inputs!$D$50*$G$9*(1+Inputs!$D$48)^4)/COUNTIF(Regions!$G$8:$R$8,"&gt;0"),0))-H164/12-H165/12-H171/12-H173/12-(IF($Q$6=0,0,H159*Regions!O8/$Q$6))*Inputs!$D$52</f>
        <v>4387876.48396148</v>
      </c>
      <c r="M183" s="43" t="n">
        <f aca="false">L183+(IF($Q$6=0,0,H159*Regions!P8/$Q$6))-(IF($Q$6=0,0,H160*H158*Regions!P8/$Q$6))-((IF($Q$6=0,0,H159*Regions!P8/$Q$6))*'Five Year'!$D$48)-(Inputs!$D$50*$G$9*(1+Inputs!$D$48)^4/12+IF(Regions!P8&gt;0,(H163-Inputs!$D$50*$G$9*(1+Inputs!$D$48)^4)/COUNTIF(Regions!$G$8:$R$8,"&gt;0"),0))-H164/12-H165/12-H171/12-H173/12-(IF($Q$6=0,0,H159*Regions!P8/$Q$6))*Inputs!$D$52</f>
        <v>4547665.13797254</v>
      </c>
      <c r="N183" s="43" t="n">
        <f aca="false">M183+(IF($Q$6=0,0,H159*Regions!Q8/$Q$6))-(IF($Q$6=0,0,H160*H158*Regions!Q8/$Q$6))-((IF($Q$6=0,0,H159*Regions!Q8/$Q$6))*'Five Year'!$D$48)-(Inputs!$D$50*$G$9*(1+Inputs!$D$48)^4/12+IF(Regions!Q8&gt;0,(H163-Inputs!$D$50*$G$9*(1+Inputs!$D$48)^4)/COUNTIF(Regions!$G$8:$R$8,"&gt;0"),0))-H164/12-H165/12-H171/12-H173/12-(IF($Q$6=0,0,H159*Regions!Q8/$Q$6))*Inputs!$D$52</f>
        <v>4707453.79198359</v>
      </c>
      <c r="O183" s="43" t="n">
        <f aca="false">N183+(IF($Q$6=0,0,H159*Regions!R8/$Q$6))-(IF($Q$6=0,0,H160*H158*Regions!R8/$Q$6))-((IF($Q$6=0,0,H159*Regions!R8/$Q$6))*'Five Year'!$D$48)-(Inputs!$D$50*$G$9*(1+Inputs!$D$48)^4/12+IF(Regions!R8&gt;0,(H163-Inputs!$D$50*$G$9*(1+Inputs!$D$48)^4)/COUNTIF(Regions!$G$8:$R$8,"&gt;0"),0))-H164/12-H165/12-H171/12-H173/12-(IF($Q$6=0,0,H159*Regions!R8/$Q$6))*Inputs!$D$52</f>
        <v>4867242.44599464</v>
      </c>
      <c r="Q183" s="43" t="n">
        <f aca="false">O183</f>
        <v>4867242.44599464</v>
      </c>
      <c r="R183" s="43" t="n">
        <f aca="false">MIN(D183:O183)</f>
        <v>3269355.9058841</v>
      </c>
    </row>
    <row r="184" customFormat="false" ht="15" hidden="false" customHeight="true" outlineLevel="0" collapsed="false">
      <c r="B184" s="37" t="s">
        <v>185</v>
      </c>
      <c r="D184" s="43" t="n">
        <f aca="false">MIN(R179:R183)</f>
        <v>-47123.5822365884</v>
      </c>
    </row>
    <row r="196" customFormat="false" ht="15" hidden="false" customHeight="true" outlineLevel="0" collapsed="false">
      <c r="B196" s="37" t="s">
        <v>189</v>
      </c>
    </row>
    <row r="197" customFormat="false" ht="15" hidden="false" customHeight="true" outlineLevel="0" collapsed="false">
      <c r="D197" s="37" t="s">
        <v>99</v>
      </c>
      <c r="E197" s="37" t="s">
        <v>100</v>
      </c>
      <c r="F197" s="37" t="s">
        <v>101</v>
      </c>
      <c r="G197" s="37" t="s">
        <v>102</v>
      </c>
      <c r="H197" s="37" t="s">
        <v>103</v>
      </c>
    </row>
    <row r="198" customFormat="false" ht="15" hidden="false" customHeight="true" outlineLevel="0" collapsed="false">
      <c r="B198" s="38" t="s">
        <v>104</v>
      </c>
      <c r="D198" s="42" t="n">
        <f aca="false">MAX(0,'Five Year'!D$50-$H$6)</f>
        <v>0.3</v>
      </c>
      <c r="E198" s="42" t="n">
        <f aca="false">MAX(0,'Five Year'!E$50-$H$6)</f>
        <v>0.38</v>
      </c>
      <c r="F198" s="42" t="n">
        <f aca="false">MAX(0,'Five Year'!F$50-$H$6)</f>
        <v>0.45</v>
      </c>
      <c r="G198" s="42" t="n">
        <f aca="false">MAX(0,'Five Year'!G$50-$H$6)</f>
        <v>0.5</v>
      </c>
      <c r="H198" s="42" t="n">
        <f aca="false">MAX(0,'Five Year'!H$50-$H$6)</f>
        <v>0.55</v>
      </c>
    </row>
    <row r="199" customFormat="false" ht="15" hidden="false" customHeight="true" outlineLevel="0" collapsed="false">
      <c r="B199" s="38" t="s">
        <v>106</v>
      </c>
      <c r="D199" s="43" t="n">
        <f aca="false">'Five Year'!$D$49*$H$7*(1+Inputs!$D$49)^0</f>
        <v>5850</v>
      </c>
      <c r="E199" s="43" t="n">
        <f aca="false">'Five Year'!$D$49*$H$7*(1+Inputs!$D$49)^1</f>
        <v>6201</v>
      </c>
      <c r="F199" s="43" t="n">
        <f aca="false">'Five Year'!$D$49*$H$7*(1+Inputs!$D$49)^2</f>
        <v>6573.06</v>
      </c>
      <c r="G199" s="43" t="n">
        <f aca="false">'Five Year'!$D$49*$H$7*(1+Inputs!$D$49)^3</f>
        <v>6967.4436</v>
      </c>
      <c r="H199" s="43" t="n">
        <f aca="false">'Five Year'!$D$49*$H$7*(1+Inputs!$D$49)^4</f>
        <v>7385.490216</v>
      </c>
    </row>
    <row r="200" customFormat="false" ht="15" hidden="false" customHeight="true" outlineLevel="0" collapsed="false">
      <c r="B200" s="38" t="s">
        <v>107</v>
      </c>
      <c r="D200" s="44" t="n">
        <f aca="false">Inputs!$D$16*D198</f>
        <v>240</v>
      </c>
      <c r="E200" s="44" t="n">
        <f aca="false">Inputs!$D$16*E198</f>
        <v>304</v>
      </c>
      <c r="F200" s="44" t="n">
        <f aca="false">Inputs!$D$16*F198</f>
        <v>360</v>
      </c>
      <c r="G200" s="44" t="n">
        <f aca="false">Inputs!$D$16*G198</f>
        <v>400</v>
      </c>
      <c r="H200" s="44" t="n">
        <f aca="false">Inputs!$D$16*H198</f>
        <v>440</v>
      </c>
    </row>
    <row r="201" customFormat="false" ht="15" hidden="false" customHeight="true" outlineLevel="0" collapsed="false">
      <c r="B201" s="38" t="s">
        <v>108</v>
      </c>
      <c r="D201" s="43" t="n">
        <f aca="false">D200*D199</f>
        <v>1404000</v>
      </c>
      <c r="E201" s="43" t="n">
        <f aca="false">E200*E199</f>
        <v>1885104</v>
      </c>
      <c r="F201" s="43" t="n">
        <f aca="false">F200*F199</f>
        <v>2366301.6</v>
      </c>
      <c r="G201" s="43" t="n">
        <f aca="false">G200*G199</f>
        <v>2786977.44</v>
      </c>
      <c r="H201" s="43" t="n">
        <f aca="false">H200*H199</f>
        <v>3249615.69504</v>
      </c>
    </row>
    <row r="202" customFormat="false" ht="15" hidden="false" customHeight="true" outlineLevel="0" collapsed="false">
      <c r="B202" s="38" t="s">
        <v>109</v>
      </c>
      <c r="D202" s="45" t="n">
        <f aca="false">((Inputs!$E$41*'Five Year'!$D$46*$H$10/Capital!$H$6)*(1+Inputs!$D$47)^0+Inputs!$E$42*'Five Year'!$D$46*(1+Inputs!$D$48)^0)*$H$8</f>
        <v>1463.93296044317</v>
      </c>
      <c r="E202" s="45" t="n">
        <f aca="false">((Inputs!$E$41*'Five Year'!$D$46*$H$10/Capital!$H$6)*(1+Inputs!$D$47)^1+Inputs!$E$42*'Five Year'!$D$46*(1+Inputs!$D$48)^1)*$H$8</f>
        <v>1527.01893806976</v>
      </c>
      <c r="F202" s="45" t="n">
        <f aca="false">((Inputs!$E$41*'Five Year'!$D$46*$H$10/Capital!$H$6)*(1+Inputs!$D$47)^2+Inputs!$E$42*'Five Year'!$D$46*(1+Inputs!$D$48)^2)*$H$8</f>
        <v>1593.14757435394</v>
      </c>
      <c r="G202" s="45" t="n">
        <f aca="false">((Inputs!$E$41*'Five Year'!$D$46*$H$10/Capital!$H$6)*(1+Inputs!$D$47)^3+Inputs!$E$42*'Five Year'!$D$46*(1+Inputs!$D$48)^3)*$H$8</f>
        <v>1662.47915381518</v>
      </c>
      <c r="H202" s="45" t="n">
        <f aca="false">((Inputs!$E$41*'Five Year'!$D$46*$H$10/Capital!$H$6)*(1+Inputs!$D$47)^4+Inputs!$E$42*'Five Year'!$D$46*(1+Inputs!$D$48)^4)*$H$8</f>
        <v>1735.18290979409</v>
      </c>
    </row>
    <row r="203" customFormat="false" ht="15" hidden="false" customHeight="true" outlineLevel="0" collapsed="false">
      <c r="B203" s="38" t="s">
        <v>110</v>
      </c>
      <c r="D203" s="43" t="n">
        <f aca="false">D202*D200</f>
        <v>351343.91050636</v>
      </c>
      <c r="E203" s="43" t="n">
        <f aca="false">E202*E200</f>
        <v>464213.757173206</v>
      </c>
      <c r="F203" s="43" t="n">
        <f aca="false">F202*F200</f>
        <v>573533.126767419</v>
      </c>
      <c r="G203" s="43" t="n">
        <f aca="false">G202*G200</f>
        <v>664991.661526071</v>
      </c>
      <c r="H203" s="43" t="n">
        <f aca="false">H202*H200</f>
        <v>763480.480309399</v>
      </c>
    </row>
    <row r="204" customFormat="false" ht="15" hidden="false" customHeight="true" outlineLevel="0" collapsed="false">
      <c r="B204" s="38" t="s">
        <v>111</v>
      </c>
      <c r="D204" s="43" t="n">
        <f aca="false">D201*'Five Year'!$D$48</f>
        <v>168480</v>
      </c>
      <c r="E204" s="43" t="n">
        <f aca="false">E201*'Five Year'!$D$48</f>
        <v>226212.48</v>
      </c>
      <c r="F204" s="43" t="n">
        <f aca="false">F201*'Five Year'!$D$48</f>
        <v>283956.192</v>
      </c>
      <c r="G204" s="43" t="n">
        <f aca="false">G201*'Five Year'!$D$48</f>
        <v>334437.2928</v>
      </c>
      <c r="H204" s="43" t="n">
        <f aca="false">H201*'Five Year'!$D$48</f>
        <v>389953.8834048</v>
      </c>
    </row>
    <row r="205" customFormat="false" ht="15" hidden="false" customHeight="true" outlineLevel="0" collapsed="false">
      <c r="B205" s="38" t="s">
        <v>112</v>
      </c>
      <c r="D205" s="43" t="n">
        <f aca="false">MAX(Inputs!$D$50*$H$9*(1+Inputs!$D$48)^0,Inputs!$D$51*D201)</f>
        <v>112320</v>
      </c>
      <c r="E205" s="43" t="n">
        <f aca="false">MAX(Inputs!$D$50*$H$9*(1+Inputs!$D$48)^1,Inputs!$D$51*E201)</f>
        <v>150808.32</v>
      </c>
      <c r="F205" s="43" t="n">
        <f aca="false">MAX(Inputs!$D$50*$H$9*(1+Inputs!$D$48)^2,Inputs!$D$51*F201)</f>
        <v>189304.128</v>
      </c>
      <c r="G205" s="43" t="n">
        <f aca="false">MAX(Inputs!$D$50*$H$9*(1+Inputs!$D$48)^3,Inputs!$D$51*G201)</f>
        <v>222958.1952</v>
      </c>
      <c r="H205" s="43" t="n">
        <f aca="false">MAX(Inputs!$D$50*$H$9*(1+Inputs!$D$48)^4,Inputs!$D$51*H201)</f>
        <v>259969.2556032</v>
      </c>
    </row>
    <row r="206" customFormat="false" ht="15" hidden="false" customHeight="true" outlineLevel="0" collapsed="false">
      <c r="B206" s="38" t="s">
        <v>113</v>
      </c>
      <c r="D206" s="43" t="n">
        <f aca="false">((Inputs!$E$28*'Five Year'!$D$47*$H$10/Capital!$H$6)*(1+Inputs!$D$47)^0+Inputs!$E$29*'Five Year'!$D$47*(1+Inputs!$D$48)^0)*$H$8</f>
        <v>593841.154166779</v>
      </c>
      <c r="E206" s="43" t="n">
        <f aca="false">((Inputs!$E$28*'Five Year'!$D$47*$H$10/Capital!$H$6)*(1+Inputs!$D$47)^1+Inputs!$E$29*'Five Year'!$D$47*(1+Inputs!$D$48)^1)*$H$8</f>
        <v>628481.623416786</v>
      </c>
      <c r="F206" s="43" t="n">
        <f aca="false">((Inputs!$E$28*'Five Year'!$D$47*$H$10/Capital!$H$6)*(1+Inputs!$D$47)^2+Inputs!$E$29*'Five Year'!$D$47*(1+Inputs!$D$48)^2)*$H$8</f>
        <v>665170.820821793</v>
      </c>
      <c r="G206" s="43" t="n">
        <f aca="false">((Inputs!$E$28*'Five Year'!$D$47*$H$10/Capital!$H$6)*(1+Inputs!$D$47)^3+Inputs!$E$29*'Five Year'!$D$47*(1+Inputs!$D$48)^3)*$H$8</f>
        <v>704030.7790711</v>
      </c>
      <c r="H206" s="43" t="n">
        <f aca="false">((Inputs!$E$28*'Five Year'!$D$47*$H$10/Capital!$H$6)*(1+Inputs!$D$47)^4+Inputs!$E$29*'Five Year'!$D$47*(1+Inputs!$D$48)^4)*$H$8</f>
        <v>745190.826085366</v>
      </c>
    </row>
    <row r="207" customFormat="false" ht="15" hidden="false" customHeight="true" outlineLevel="0" collapsed="false">
      <c r="B207" s="38" t="s">
        <v>114</v>
      </c>
      <c r="D207" s="43" t="n">
        <f aca="false">Inputs!$E$30*'Five Year'!$D$47*(1+Inputs!$D$48)^0*$H$8</f>
        <v>66000</v>
      </c>
      <c r="E207" s="43" t="n">
        <f aca="false">Inputs!$E$30*'Five Year'!$D$47*(1+Inputs!$D$48)^1*$H$8</f>
        <v>67980</v>
      </c>
      <c r="F207" s="43" t="n">
        <f aca="false">Inputs!$E$30*'Five Year'!$D$47*(1+Inputs!$D$48)^2*$H$8</f>
        <v>70019.4</v>
      </c>
      <c r="G207" s="43" t="n">
        <f aca="false">Inputs!$E$30*'Five Year'!$D$47*(1+Inputs!$D$48)^3*$H$8</f>
        <v>72119.982</v>
      </c>
      <c r="H207" s="43" t="n">
        <f aca="false">Inputs!$E$30*'Five Year'!$D$47*(1+Inputs!$D$48)^4*$H$8</f>
        <v>74283.58146</v>
      </c>
    </row>
    <row r="208" customFormat="false" ht="15" hidden="false" customHeight="true" outlineLevel="0" collapsed="false">
      <c r="B208" s="37" t="s">
        <v>115</v>
      </c>
      <c r="D208" s="43" t="n">
        <f aca="false">D201-D203-D204-D205-D206-D207</f>
        <v>112014.935326862</v>
      </c>
      <c r="E208" s="43" t="n">
        <f aca="false">E201-E203-E204-E205-E206-E207</f>
        <v>347407.819410009</v>
      </c>
      <c r="F208" s="43" t="n">
        <f aca="false">F201-F203-F204-F205-F206-F207</f>
        <v>584317.932410789</v>
      </c>
      <c r="G208" s="43" t="n">
        <f aca="false">G201-G203-G204-G205-G206-G207</f>
        <v>788439.52940283</v>
      </c>
      <c r="H208" s="43" t="n">
        <f aca="false">H201-H203-H204-H205-H206-H207</f>
        <v>1016737.66817724</v>
      </c>
    </row>
    <row r="209" customFormat="false" ht="15" hidden="false" customHeight="true" outlineLevel="0" collapsed="false">
      <c r="B209" s="38" t="s">
        <v>116</v>
      </c>
      <c r="D209" s="46" t="n">
        <f aca="false">IF(D201=0,0,D208/D201)</f>
        <v>0.0797827174692748</v>
      </c>
      <c r="E209" s="46" t="n">
        <f aca="false">IF(E201=0,0,E208/E201)</f>
        <v>0.18429106267347</v>
      </c>
      <c r="F209" s="46" t="n">
        <f aca="false">IF(F201=0,0,F208/F201)</f>
        <v>0.246932991302034</v>
      </c>
      <c r="G209" s="46" t="n">
        <f aca="false">IF(G201=0,0,G208/G201)</f>
        <v>0.282901295893816</v>
      </c>
      <c r="H209" s="46" t="n">
        <f aca="false">IF(H201=0,0,H208/H201)</f>
        <v>0.312879356697199</v>
      </c>
    </row>
    <row r="210" customFormat="false" ht="15" hidden="false" customHeight="true" outlineLevel="0" collapsed="false">
      <c r="B210" s="38" t="s">
        <v>117</v>
      </c>
      <c r="D210" s="43" t="n">
        <f aca="false">D201*Inputs!$D$52</f>
        <v>42120</v>
      </c>
      <c r="E210" s="43" t="n">
        <f aca="false">E201*Inputs!$D$52</f>
        <v>56553.12</v>
      </c>
      <c r="F210" s="43" t="n">
        <f aca="false">F201*Inputs!$D$52</f>
        <v>70989.048</v>
      </c>
      <c r="G210" s="43" t="n">
        <f aca="false">G201*Inputs!$D$52</f>
        <v>83609.3232</v>
      </c>
      <c r="H210" s="43" t="n">
        <f aca="false">H201*Inputs!$D$52</f>
        <v>97488.4708512</v>
      </c>
    </row>
    <row r="211" customFormat="false" ht="15" hidden="false" customHeight="true" outlineLevel="0" collapsed="false">
      <c r="B211" s="38" t="s">
        <v>118</v>
      </c>
      <c r="D211" s="43" t="n">
        <f aca="false">'Asset Register'!$K$25+0/5+D210/10</f>
        <v>394515.089019378</v>
      </c>
      <c r="E211" s="43" t="n">
        <f aca="false">'Asset Register'!$K$26+SUM($D210:D210)/5+E210/10</f>
        <v>404382.401019378</v>
      </c>
      <c r="F211" s="43" t="n">
        <f aca="false">'Asset Register'!$K$27+SUM($D210:E210)/5+F210/10</f>
        <v>417136.617819378</v>
      </c>
      <c r="G211" s="43" t="n">
        <f aca="false">'Asset Register'!$K$28+SUM($D210:F210)/5+G210/10</f>
        <v>432596.454939378</v>
      </c>
      <c r="H211" s="43" t="n">
        <f aca="false">'Asset Register'!$K$29+SUM($D210:G210)/5+H210/10</f>
        <v>450706.234344498</v>
      </c>
    </row>
    <row r="212" customFormat="false" ht="15" hidden="false" customHeight="true" outlineLevel="0" collapsed="false">
      <c r="B212" s="38" t="s">
        <v>119</v>
      </c>
      <c r="D212" s="43" t="n">
        <f aca="false">D208-D211</f>
        <v>-282500.153692516</v>
      </c>
      <c r="E212" s="43" t="n">
        <f aca="false">E208-E211</f>
        <v>-56974.5816093694</v>
      </c>
      <c r="F212" s="43" t="n">
        <f aca="false">F208-F211</f>
        <v>167181.314591411</v>
      </c>
      <c r="G212" s="43" t="n">
        <f aca="false">G208-G211</f>
        <v>355843.074463451</v>
      </c>
      <c r="H212" s="43" t="n">
        <f aca="false">H208-H211</f>
        <v>566031.433832738</v>
      </c>
    </row>
    <row r="213" customFormat="false" ht="15" hidden="false" customHeight="true" outlineLevel="0" collapsed="false">
      <c r="B213" s="38" t="s">
        <v>120</v>
      </c>
      <c r="D213" s="43" t="n">
        <f aca="false">MAX(0,D212)*Inputs!$D$54</f>
        <v>0</v>
      </c>
      <c r="E213" s="43" t="n">
        <f aca="false">MAX(0,E212)*Inputs!$D$54</f>
        <v>0</v>
      </c>
      <c r="F213" s="43" t="n">
        <f aca="false">MAX(0,F212)*Inputs!$D$54</f>
        <v>50154.3943774234</v>
      </c>
      <c r="G213" s="43" t="n">
        <f aca="false">MAX(0,G212)*Inputs!$D$54</f>
        <v>106752.922339035</v>
      </c>
      <c r="H213" s="43" t="n">
        <f aca="false">MAX(0,H212)*Inputs!$D$54</f>
        <v>169809.430149821</v>
      </c>
    </row>
    <row r="214" customFormat="false" ht="15" hidden="false" customHeight="true" outlineLevel="0" collapsed="false">
      <c r="B214" s="38" t="s">
        <v>121</v>
      </c>
      <c r="D214" s="43" t="n">
        <f aca="false">D212-D213</f>
        <v>-282500.153692516</v>
      </c>
      <c r="E214" s="43" t="n">
        <f aca="false">E212-E213</f>
        <v>-56974.5816093694</v>
      </c>
      <c r="F214" s="43" t="n">
        <f aca="false">F212-F213</f>
        <v>117026.920213988</v>
      </c>
      <c r="G214" s="43" t="n">
        <f aca="false">G212-G213</f>
        <v>249090.152124416</v>
      </c>
      <c r="H214" s="43" t="n">
        <f aca="false">H212-H213</f>
        <v>396222.003682916</v>
      </c>
    </row>
    <row r="215" customFormat="false" ht="15" hidden="false" customHeight="true" outlineLevel="0" collapsed="false">
      <c r="B215" s="38" t="s">
        <v>122</v>
      </c>
      <c r="D215" s="43" t="n">
        <f aca="false">(D201-0)*Inputs!$D$53</f>
        <v>70200</v>
      </c>
      <c r="E215" s="43" t="n">
        <f aca="false">(E201-D201)*Inputs!$D$53</f>
        <v>24055.2</v>
      </c>
      <c r="F215" s="43" t="n">
        <f aca="false">(F201-E201)*Inputs!$D$53</f>
        <v>24059.8800000001</v>
      </c>
      <c r="G215" s="43" t="n">
        <f aca="false">(G201-F201)*Inputs!$D$53</f>
        <v>21033.792</v>
      </c>
      <c r="H215" s="43" t="n">
        <f aca="false">(H201-G201)*Inputs!$D$53</f>
        <v>23131.912752</v>
      </c>
    </row>
    <row r="216" customFormat="false" ht="15" hidden="false" customHeight="true" outlineLevel="0" collapsed="false">
      <c r="B216" s="37" t="s">
        <v>123</v>
      </c>
      <c r="D216" s="43" t="n">
        <f aca="false">D208-D213-D210-D215</f>
        <v>-305.064673138215</v>
      </c>
      <c r="E216" s="43" t="n">
        <f aca="false">E208-E213-E210-E215</f>
        <v>266799.499410009</v>
      </c>
      <c r="F216" s="43" t="n">
        <f aca="false">F208-F213-F210-F215</f>
        <v>439114.610033366</v>
      </c>
      <c r="G216" s="43" t="n">
        <f aca="false">G208-G213-G210-G215</f>
        <v>577043.491863794</v>
      </c>
      <c r="H216" s="43" t="n">
        <f aca="false">H208-H213-H210-H215</f>
        <v>726307.854424214</v>
      </c>
    </row>
    <row r="217" customFormat="false" ht="15" hidden="false" customHeight="true" outlineLevel="0" collapsed="false">
      <c r="B217" s="37" t="s">
        <v>124</v>
      </c>
      <c r="D217" s="43" t="n">
        <f aca="false">Capital!$H$39+D216</f>
        <v>-504928.689864737</v>
      </c>
      <c r="E217" s="43" t="n">
        <f aca="false">D217+E216</f>
        <v>-238129.190454729</v>
      </c>
      <c r="F217" s="43" t="n">
        <f aca="false">E217+F216</f>
        <v>200985.419578637</v>
      </c>
      <c r="G217" s="43" t="n">
        <f aca="false">F217+G216</f>
        <v>778028.911442432</v>
      </c>
      <c r="H217" s="43" t="n">
        <f aca="false">G217+H216</f>
        <v>1504336.76586665</v>
      </c>
    </row>
    <row r="220" customFormat="false" ht="15" hidden="false" customHeight="true" outlineLevel="0" collapsed="false">
      <c r="B220" s="37" t="s">
        <v>179</v>
      </c>
    </row>
    <row r="221" customFormat="false" ht="15" hidden="false" customHeight="true" outlineLevel="0" collapsed="false">
      <c r="B221" s="38" t="s">
        <v>180</v>
      </c>
      <c r="D221" s="43" t="n">
        <f aca="false">Capital!$H$39+(IF($Q$6=0,0,D201*Regions!G8/$Q$6))-(IF($Q$6=0,0,D202*D200*Regions!G8/$Q$6))-((IF($Q$6=0,0,D201*Regions!G8/$Q$6))*'Five Year'!$D$48)-(Inputs!$D$50*$H$9*(1+Inputs!$D$48)^0/12+IF(Regions!G8&gt;0,(D205-Inputs!$D$50*$H$9*(1+Inputs!$D$48)^0)/COUNTIF(Regions!$G$8:$R$8,"&gt;0"),0))-D206/12-D207/12-D213/12-D215/12-(IF($Q$6=0,0,D201*Regions!G8/$Q$6))*Inputs!$D$52</f>
        <v>-574627.054705497</v>
      </c>
      <c r="E221" s="43" t="n">
        <f aca="false">D221+(IF($Q$6=0,0,D201*Regions!H8/$Q$6))-(IF($Q$6=0,0,D202*D200*Regions!H8/$Q$6))-((IF($Q$6=0,0,D201*Regions!H8/$Q$6))*'Five Year'!$D$48)-(Inputs!$D$50*$H$9*(1+Inputs!$D$48)^0/12+IF(Regions!H8&gt;0,(D205-Inputs!$D$50*$H$9*(1+Inputs!$D$48)^0)/COUNTIF(Regions!$G$8:$R$8,"&gt;0"),0))-D206/12-D207/12-D213/12-D215/12-(IF($Q$6=0,0,D201*Regions!H8/$Q$6))*Inputs!$D$52</f>
        <v>-644630.484219396</v>
      </c>
      <c r="F221" s="43" t="n">
        <f aca="false">E221+(IF($Q$6=0,0,D201*Regions!I8/$Q$6))-(IF($Q$6=0,0,D202*D200*Regions!I8/$Q$6))-((IF($Q$6=0,0,D201*Regions!I8/$Q$6))*'Five Year'!$D$48)-(Inputs!$D$50*$H$9*(1+Inputs!$D$48)^0/12+IF(Regions!I8&gt;0,(D205-Inputs!$D$50*$H$9*(1+Inputs!$D$48)^0)/COUNTIF(Regions!$G$8:$R$8,"&gt;0"),0))-D206/12-D207/12-D213/12-D215/12-(IF($Q$6=0,0,D201*Regions!I8/$Q$6))*Inputs!$D$52</f>
        <v>-630660.30478393</v>
      </c>
      <c r="G221" s="43" t="n">
        <f aca="false">F221+(IF($Q$6=0,0,D201*Regions!J8/$Q$6))-(IF($Q$6=0,0,D202*D200*Regions!J8/$Q$6))-((IF($Q$6=0,0,D201*Regions!J8/$Q$6))*'Five Year'!$D$48)-(Inputs!$D$50*$H$9*(1+Inputs!$D$48)^0/12+IF(Regions!J8&gt;0,(D205-Inputs!$D$50*$H$9*(1+Inputs!$D$48)^0)/COUNTIF(Regions!$G$8:$R$8,"&gt;0"),0))-D206/12-D207/12-D213/12-D215/12-(IF($Q$6=0,0,D201*Regions!J8/$Q$6))*Inputs!$D$52</f>
        <v>-616690.125348464</v>
      </c>
      <c r="H221" s="43" t="n">
        <f aca="false">G221+(IF($Q$6=0,0,D201*Regions!K8/$Q$6))-(IF($Q$6=0,0,D202*D200*Regions!K8/$Q$6))-((IF($Q$6=0,0,D201*Regions!K8/$Q$6))*'Five Year'!$D$48)-(Inputs!$D$50*$H$9*(1+Inputs!$D$48)^0/12+IF(Regions!K8&gt;0,(D205-Inputs!$D$50*$H$9*(1+Inputs!$D$48)^0)/COUNTIF(Regions!$G$8:$R$8,"&gt;0"),0))-D206/12-D207/12-D213/12-D215/12-(IF($Q$6=0,0,D201*Regions!K8/$Q$6))*Inputs!$D$52</f>
        <v>-602719.945912998</v>
      </c>
      <c r="I221" s="43" t="n">
        <f aca="false">H221+(IF($Q$6=0,0,D201*Regions!L8/$Q$6))-(IF($Q$6=0,0,D202*D200*Regions!L8/$Q$6))-((IF($Q$6=0,0,D201*Regions!L8/$Q$6))*'Five Year'!$D$48)-(Inputs!$D$50*$H$9*(1+Inputs!$D$48)^0/12+IF(Regions!L8&gt;0,(D205-Inputs!$D$50*$H$9*(1+Inputs!$D$48)^0)/COUNTIF(Regions!$G$8:$R$8,"&gt;0"),0))-D206/12-D207/12-D213/12-D215/12-(IF($Q$6=0,0,D201*Regions!L8/$Q$6))*Inputs!$D$52</f>
        <v>-588749.766477532</v>
      </c>
      <c r="J221" s="43" t="n">
        <f aca="false">I221+(IF($Q$6=0,0,D201*Regions!M8/$Q$6))-(IF($Q$6=0,0,D202*D200*Regions!M8/$Q$6))-((IF($Q$6=0,0,D201*Regions!M8/$Q$6))*'Five Year'!$D$48)-(Inputs!$D$50*$H$9*(1+Inputs!$D$48)^0/12+IF(Regions!M8&gt;0,(D205-Inputs!$D$50*$H$9*(1+Inputs!$D$48)^0)/COUNTIF(Regions!$G$8:$R$8,"&gt;0"),0))-D206/12-D207/12-D213/12-D215/12-(IF($Q$6=0,0,D201*Regions!M8/$Q$6))*Inputs!$D$52</f>
        <v>-574779.587042066</v>
      </c>
      <c r="K221" s="43" t="n">
        <f aca="false">J221+(IF($Q$6=0,0,D201*Regions!N8/$Q$6))-(IF($Q$6=0,0,D202*D200*Regions!N8/$Q$6))-((IF($Q$6=0,0,D201*Regions!N8/$Q$6))*'Five Year'!$D$48)-(Inputs!$D$50*$H$9*(1+Inputs!$D$48)^0/12+IF(Regions!N8&gt;0,(D205-Inputs!$D$50*$H$9*(1+Inputs!$D$48)^0)/COUNTIF(Regions!$G$8:$R$8,"&gt;0"),0))-D206/12-D207/12-D213/12-D215/12-(IF($Q$6=0,0,D201*Regions!N8/$Q$6))*Inputs!$D$52</f>
        <v>-560809.407606601</v>
      </c>
      <c r="L221" s="43" t="n">
        <f aca="false">K221+(IF($Q$6=0,0,D201*Regions!O8/$Q$6))-(IF($Q$6=0,0,D202*D200*Regions!O8/$Q$6))-((IF($Q$6=0,0,D201*Regions!O8/$Q$6))*'Five Year'!$D$48)-(Inputs!$D$50*$H$9*(1+Inputs!$D$48)^0/12+IF(Regions!O8&gt;0,(D205-Inputs!$D$50*$H$9*(1+Inputs!$D$48)^0)/COUNTIF(Regions!$G$8:$R$8,"&gt;0"),0))-D206/12-D207/12-D213/12-D215/12-(IF($Q$6=0,0,D201*Regions!O8/$Q$6))*Inputs!$D$52</f>
        <v>-546839.228171135</v>
      </c>
      <c r="M221" s="43" t="n">
        <f aca="false">L221+(IF($Q$6=0,0,D201*Regions!P8/$Q$6))-(IF($Q$6=0,0,D202*D200*Regions!P8/$Q$6))-((IF($Q$6=0,0,D201*Regions!P8/$Q$6))*'Five Year'!$D$48)-(Inputs!$D$50*$H$9*(1+Inputs!$D$48)^0/12+IF(Regions!P8&gt;0,(D205-Inputs!$D$50*$H$9*(1+Inputs!$D$48)^0)/COUNTIF(Regions!$G$8:$R$8,"&gt;0"),0))-D206/12-D207/12-D213/12-D215/12-(IF($Q$6=0,0,D201*Regions!P8/$Q$6))*Inputs!$D$52</f>
        <v>-532869.048735669</v>
      </c>
      <c r="N221" s="43" t="n">
        <f aca="false">M221+(IF($Q$6=0,0,D201*Regions!Q8/$Q$6))-(IF($Q$6=0,0,D202*D200*Regions!Q8/$Q$6))-((IF($Q$6=0,0,D201*Regions!Q8/$Q$6))*'Five Year'!$D$48)-(Inputs!$D$50*$H$9*(1+Inputs!$D$48)^0/12+IF(Regions!Q8&gt;0,(D205-Inputs!$D$50*$H$9*(1+Inputs!$D$48)^0)/COUNTIF(Regions!$G$8:$R$8,"&gt;0"),0))-D206/12-D207/12-D213/12-D215/12-(IF($Q$6=0,0,D201*Regions!Q8/$Q$6))*Inputs!$D$52</f>
        <v>-518898.869300203</v>
      </c>
      <c r="O221" s="43" t="n">
        <f aca="false">N221+(IF($Q$6=0,0,D201*Regions!R8/$Q$6))-(IF($Q$6=0,0,D202*D200*Regions!R8/$Q$6))-((IF($Q$6=0,0,D201*Regions!R8/$Q$6))*'Five Year'!$D$48)-(Inputs!$D$50*$H$9*(1+Inputs!$D$48)^0/12+IF(Regions!R8&gt;0,(D205-Inputs!$D$50*$H$9*(1+Inputs!$D$48)^0)/COUNTIF(Regions!$G$8:$R$8,"&gt;0"),0))-D206/12-D207/12-D213/12-D215/12-(IF($Q$6=0,0,D201*Regions!R8/$Q$6))*Inputs!$D$52</f>
        <v>-504928.689864737</v>
      </c>
      <c r="Q221" s="43" t="n">
        <f aca="false">O221</f>
        <v>-504928.689864737</v>
      </c>
      <c r="R221" s="43" t="n">
        <f aca="false">MIN(D221:O221)</f>
        <v>-644630.484219396</v>
      </c>
    </row>
    <row r="222" customFormat="false" ht="15" hidden="false" customHeight="true" outlineLevel="0" collapsed="false">
      <c r="B222" s="38" t="s">
        <v>181</v>
      </c>
      <c r="D222" s="43" t="n">
        <f aca="false">$Q221+(IF($Q$6=0,0,E201*Regions!G8/$Q$6))-(IF($Q$6=0,0,E202*E200*Regions!G8/$Q$6))-((IF($Q$6=0,0,E201*Regions!G8/$Q$6))*'Five Year'!$D$48)-(Inputs!$D$50*$H$9*(1+Inputs!$D$48)^1/12+IF(Regions!G8&gt;0,(E205-Inputs!$D$50*$H$9*(1+Inputs!$D$48)^1)/COUNTIF(Regions!$G$8:$R$8,"&gt;0"),0))-E206/12-E207/12-E213/12-E215/12-(IF($Q$6=0,0,E201*Regions!G8/$Q$6))*Inputs!$D$52</f>
        <v>-574413.425149469</v>
      </c>
      <c r="E222" s="43" t="n">
        <f aca="false">D222+(IF($Q$6=0,0,E201*Regions!H8/$Q$6))-(IF($Q$6=0,0,E202*E200*Regions!H8/$Q$6))-((IF($Q$6=0,0,E201*Regions!H8/$Q$6))*'Five Year'!$D$48)-(Inputs!$D$50*$H$9*(1+Inputs!$D$48)^1/12+IF(Regions!H8&gt;0,(E205-Inputs!$D$50*$H$9*(1+Inputs!$D$48)^1)/COUNTIF(Regions!$G$8:$R$8,"&gt;0"),0))-E206/12-E207/12-E213/12-E215/12-(IF($Q$6=0,0,E201*Regions!H8/$Q$6))*Inputs!$D$52</f>
        <v>-643898.160434201</v>
      </c>
      <c r="F222" s="43" t="n">
        <f aca="false">E222+(IF($Q$6=0,0,E201*Regions!I8/$Q$6))-(IF($Q$6=0,0,E202*E200*Regions!I8/$Q$6))-((IF($Q$6=0,0,E201*Regions!I8/$Q$6))*'Five Year'!$D$48)-(Inputs!$D$50*$H$9*(1+Inputs!$D$48)^1/12+IF(Regions!I8&gt;0,(E205-Inputs!$D$50*$H$9*(1+Inputs!$D$48)^1)/COUNTIF(Regions!$G$8:$R$8,"&gt;0"),0))-E206/12-E207/12-E213/12-E215/12-(IF($Q$6=0,0,E201*Regions!I8/$Q$6))*Inputs!$D$52</f>
        <v>-603321.263436254</v>
      </c>
      <c r="G222" s="43" t="n">
        <f aca="false">F222+(IF($Q$6=0,0,E201*Regions!J8/$Q$6))-(IF($Q$6=0,0,E202*E200*Regions!J8/$Q$6))-((IF($Q$6=0,0,E201*Regions!J8/$Q$6))*'Five Year'!$D$48)-(Inputs!$D$50*$H$9*(1+Inputs!$D$48)^1/12+IF(Regions!J8&gt;0,(E205-Inputs!$D$50*$H$9*(1+Inputs!$D$48)^1)/COUNTIF(Regions!$G$8:$R$8,"&gt;0"),0))-E206/12-E207/12-E213/12-E215/12-(IF($Q$6=0,0,E201*Regions!J8/$Q$6))*Inputs!$D$52</f>
        <v>-562744.366438307</v>
      </c>
      <c r="H222" s="43" t="n">
        <f aca="false">G222+(IF($Q$6=0,0,E201*Regions!K8/$Q$6))-(IF($Q$6=0,0,E202*E200*Regions!K8/$Q$6))-((IF($Q$6=0,0,E201*Regions!K8/$Q$6))*'Five Year'!$D$48)-(Inputs!$D$50*$H$9*(1+Inputs!$D$48)^1/12+IF(Regions!K8&gt;0,(E205-Inputs!$D$50*$H$9*(1+Inputs!$D$48)^1)/COUNTIF(Regions!$G$8:$R$8,"&gt;0"),0))-E206/12-E207/12-E213/12-E215/12-(IF($Q$6=0,0,E201*Regions!K8/$Q$6))*Inputs!$D$52</f>
        <v>-522167.46944036</v>
      </c>
      <c r="I222" s="43" t="n">
        <f aca="false">H222+(IF($Q$6=0,0,E201*Regions!L8/$Q$6))-(IF($Q$6=0,0,E202*E200*Regions!L8/$Q$6))-((IF($Q$6=0,0,E201*Regions!L8/$Q$6))*'Five Year'!$D$48)-(Inputs!$D$50*$H$9*(1+Inputs!$D$48)^1/12+IF(Regions!L8&gt;0,(E205-Inputs!$D$50*$H$9*(1+Inputs!$D$48)^1)/COUNTIF(Regions!$G$8:$R$8,"&gt;0"),0))-E206/12-E207/12-E213/12-E215/12-(IF($Q$6=0,0,E201*Regions!L8/$Q$6))*Inputs!$D$52</f>
        <v>-481590.572442412</v>
      </c>
      <c r="J222" s="43" t="n">
        <f aca="false">I222+(IF($Q$6=0,0,E201*Regions!M8/$Q$6))-(IF($Q$6=0,0,E202*E200*Regions!M8/$Q$6))-((IF($Q$6=0,0,E201*Regions!M8/$Q$6))*'Five Year'!$D$48)-(Inputs!$D$50*$H$9*(1+Inputs!$D$48)^1/12+IF(Regions!M8&gt;0,(E205-Inputs!$D$50*$H$9*(1+Inputs!$D$48)^1)/COUNTIF(Regions!$G$8:$R$8,"&gt;0"),0))-E206/12-E207/12-E213/12-E215/12-(IF($Q$6=0,0,E201*Regions!M8/$Q$6))*Inputs!$D$52</f>
        <v>-441013.675444465</v>
      </c>
      <c r="K222" s="43" t="n">
        <f aca="false">J222+(IF($Q$6=0,0,E201*Regions!N8/$Q$6))-(IF($Q$6=0,0,E202*E200*Regions!N8/$Q$6))-((IF($Q$6=0,0,E201*Regions!N8/$Q$6))*'Five Year'!$D$48)-(Inputs!$D$50*$H$9*(1+Inputs!$D$48)^1/12+IF(Regions!N8&gt;0,(E205-Inputs!$D$50*$H$9*(1+Inputs!$D$48)^1)/COUNTIF(Regions!$G$8:$R$8,"&gt;0"),0))-E206/12-E207/12-E213/12-E215/12-(IF($Q$6=0,0,E201*Regions!N8/$Q$6))*Inputs!$D$52</f>
        <v>-400436.778446518</v>
      </c>
      <c r="L222" s="43" t="n">
        <f aca="false">K222+(IF($Q$6=0,0,E201*Regions!O8/$Q$6))-(IF($Q$6=0,0,E202*E200*Regions!O8/$Q$6))-((IF($Q$6=0,0,E201*Regions!O8/$Q$6))*'Five Year'!$D$48)-(Inputs!$D$50*$H$9*(1+Inputs!$D$48)^1/12+IF(Regions!O8&gt;0,(E205-Inputs!$D$50*$H$9*(1+Inputs!$D$48)^1)/COUNTIF(Regions!$G$8:$R$8,"&gt;0"),0))-E206/12-E207/12-E213/12-E215/12-(IF($Q$6=0,0,E201*Regions!O8/$Q$6))*Inputs!$D$52</f>
        <v>-359859.88144857</v>
      </c>
      <c r="M222" s="43" t="n">
        <f aca="false">L222+(IF($Q$6=0,0,E201*Regions!P8/$Q$6))-(IF($Q$6=0,0,E202*E200*Regions!P8/$Q$6))-((IF($Q$6=0,0,E201*Regions!P8/$Q$6))*'Five Year'!$D$48)-(Inputs!$D$50*$H$9*(1+Inputs!$D$48)^1/12+IF(Regions!P8&gt;0,(E205-Inputs!$D$50*$H$9*(1+Inputs!$D$48)^1)/COUNTIF(Regions!$G$8:$R$8,"&gt;0"),0))-E206/12-E207/12-E213/12-E215/12-(IF($Q$6=0,0,E201*Regions!P8/$Q$6))*Inputs!$D$52</f>
        <v>-319282.984450623</v>
      </c>
      <c r="N222" s="43" t="n">
        <f aca="false">M222+(IF($Q$6=0,0,E201*Regions!Q8/$Q$6))-(IF($Q$6=0,0,E202*E200*Regions!Q8/$Q$6))-((IF($Q$6=0,0,E201*Regions!Q8/$Q$6))*'Five Year'!$D$48)-(Inputs!$D$50*$H$9*(1+Inputs!$D$48)^1/12+IF(Regions!Q8&gt;0,(E205-Inputs!$D$50*$H$9*(1+Inputs!$D$48)^1)/COUNTIF(Regions!$G$8:$R$8,"&gt;0"),0))-E206/12-E207/12-E213/12-E215/12-(IF($Q$6=0,0,E201*Regions!Q8/$Q$6))*Inputs!$D$52</f>
        <v>-278706.087452676</v>
      </c>
      <c r="O222" s="43" t="n">
        <f aca="false">N222+(IF($Q$6=0,0,E201*Regions!R8/$Q$6))-(IF($Q$6=0,0,E202*E200*Regions!R8/$Q$6))-((IF($Q$6=0,0,E201*Regions!R8/$Q$6))*'Five Year'!$D$48)-(Inputs!$D$50*$H$9*(1+Inputs!$D$48)^1/12+IF(Regions!R8&gt;0,(E205-Inputs!$D$50*$H$9*(1+Inputs!$D$48)^1)/COUNTIF(Regions!$G$8:$R$8,"&gt;0"),0))-E206/12-E207/12-E213/12-E215/12-(IF($Q$6=0,0,E201*Regions!R8/$Q$6))*Inputs!$D$52</f>
        <v>-238129.190454728</v>
      </c>
      <c r="Q222" s="43" t="n">
        <f aca="false">O222</f>
        <v>-238129.190454728</v>
      </c>
      <c r="R222" s="43" t="n">
        <f aca="false">MIN(D222:O222)</f>
        <v>-643898.160434201</v>
      </c>
    </row>
    <row r="223" customFormat="false" ht="15" hidden="false" customHeight="true" outlineLevel="0" collapsed="false">
      <c r="B223" s="38" t="s">
        <v>182</v>
      </c>
      <c r="D223" s="43" t="n">
        <f aca="false">$Q222+(IF($Q$6=0,0,F201*Regions!G8/$Q$6))-(IF($Q$6=0,0,F202*F200*Regions!G8/$Q$6))-((IF($Q$6=0,0,F201*Regions!G8/$Q$6))*'Five Year'!$D$48)-(Inputs!$D$50*$H$9*(1+Inputs!$D$48)^2/12+IF(Regions!G8&gt;0,(F205-Inputs!$D$50*$H$9*(1+Inputs!$D$48)^2)/COUNTIF(Regions!$G$8:$R$8,"&gt;0"),0))-F206/12-F207/12-F213/12-F215/12-(IF($Q$6=0,0,F201*Regions!G8/$Q$6))*Inputs!$D$52</f>
        <v>-315304.48172133</v>
      </c>
      <c r="E223" s="43" t="n">
        <f aca="false">D223+(IF($Q$6=0,0,F201*Regions!H8/$Q$6))-(IF($Q$6=0,0,F202*F200*Regions!H8/$Q$6))-((IF($Q$6=0,0,F201*Regions!H8/$Q$6))*'Five Year'!$D$48)-(Inputs!$D$50*$H$9*(1+Inputs!$D$48)^2/12+IF(Regions!H8&gt;0,(F205-Inputs!$D$50*$H$9*(1+Inputs!$D$48)^2)/COUNTIF(Regions!$G$8:$R$8,"&gt;0"),0))-F206/12-F207/12-F213/12-F215/12-(IF($Q$6=0,0,F201*Regions!H8/$Q$6))*Inputs!$D$52</f>
        <v>-392479.772987931</v>
      </c>
      <c r="F223" s="43" t="n">
        <f aca="false">E223+(IF($Q$6=0,0,F201*Regions!I8/$Q$6))-(IF($Q$6=0,0,F202*F200*Regions!I8/$Q$6))-((IF($Q$6=0,0,F201*Regions!I8/$Q$6))*'Five Year'!$D$48)-(Inputs!$D$50*$H$9*(1+Inputs!$D$48)^2/12+IF(Regions!I8&gt;0,(F205-Inputs!$D$50*$H$9*(1+Inputs!$D$48)^2)/COUNTIF(Regions!$G$8:$R$8,"&gt;0"),0))-F206/12-F207/12-F213/12-F215/12-(IF($Q$6=0,0,F201*Regions!I8/$Q$6))*Inputs!$D$52</f>
        <v>-333133.253731274</v>
      </c>
      <c r="G223" s="43" t="n">
        <f aca="false">F223+(IF($Q$6=0,0,F201*Regions!J8/$Q$6))-(IF($Q$6=0,0,F202*F200*Regions!J8/$Q$6))-((IF($Q$6=0,0,F201*Regions!J8/$Q$6))*'Five Year'!$D$48)-(Inputs!$D$50*$H$9*(1+Inputs!$D$48)^2/12+IF(Regions!J8&gt;0,(F205-Inputs!$D$50*$H$9*(1+Inputs!$D$48)^2)/COUNTIF(Regions!$G$8:$R$8,"&gt;0"),0))-F206/12-F207/12-F213/12-F215/12-(IF($Q$6=0,0,F201*Regions!J8/$Q$6))*Inputs!$D$52</f>
        <v>-273786.734474618</v>
      </c>
      <c r="H223" s="43" t="n">
        <f aca="false">G223+(IF($Q$6=0,0,F201*Regions!K8/$Q$6))-(IF($Q$6=0,0,F202*F200*Regions!K8/$Q$6))-((IF($Q$6=0,0,F201*Regions!K8/$Q$6))*'Five Year'!$D$48)-(Inputs!$D$50*$H$9*(1+Inputs!$D$48)^2/12+IF(Regions!K8&gt;0,(F205-Inputs!$D$50*$H$9*(1+Inputs!$D$48)^2)/COUNTIF(Regions!$G$8:$R$8,"&gt;0"),0))-F206/12-F207/12-F213/12-F215/12-(IF($Q$6=0,0,F201*Regions!K8/$Q$6))*Inputs!$D$52</f>
        <v>-214440.215217961</v>
      </c>
      <c r="I223" s="43" t="n">
        <f aca="false">H223+(IF($Q$6=0,0,F201*Regions!L8/$Q$6))-(IF($Q$6=0,0,F202*F200*Regions!L8/$Q$6))-((IF($Q$6=0,0,F201*Regions!L8/$Q$6))*'Five Year'!$D$48)-(Inputs!$D$50*$H$9*(1+Inputs!$D$48)^2/12+IF(Regions!L8&gt;0,(F205-Inputs!$D$50*$H$9*(1+Inputs!$D$48)^2)/COUNTIF(Regions!$G$8:$R$8,"&gt;0"),0))-F206/12-F207/12-F213/12-F215/12-(IF($Q$6=0,0,F201*Regions!L8/$Q$6))*Inputs!$D$52</f>
        <v>-155093.695961304</v>
      </c>
      <c r="J223" s="43" t="n">
        <f aca="false">I223+(IF($Q$6=0,0,F201*Regions!M8/$Q$6))-(IF($Q$6=0,0,F202*F200*Regions!M8/$Q$6))-((IF($Q$6=0,0,F201*Regions!M8/$Q$6))*'Five Year'!$D$48)-(Inputs!$D$50*$H$9*(1+Inputs!$D$48)^2/12+IF(Regions!M8&gt;0,(F205-Inputs!$D$50*$H$9*(1+Inputs!$D$48)^2)/COUNTIF(Regions!$G$8:$R$8,"&gt;0"),0))-F206/12-F207/12-F213/12-F215/12-(IF($Q$6=0,0,F201*Regions!M8/$Q$6))*Inputs!$D$52</f>
        <v>-95747.176704647</v>
      </c>
      <c r="K223" s="43" t="n">
        <f aca="false">J223+(IF($Q$6=0,0,F201*Regions!N8/$Q$6))-(IF($Q$6=0,0,F202*F200*Regions!N8/$Q$6))-((IF($Q$6=0,0,F201*Regions!N8/$Q$6))*'Five Year'!$D$48)-(Inputs!$D$50*$H$9*(1+Inputs!$D$48)^2/12+IF(Regions!N8&gt;0,(F205-Inputs!$D$50*$H$9*(1+Inputs!$D$48)^2)/COUNTIF(Regions!$G$8:$R$8,"&gt;0"),0))-F206/12-F207/12-F213/12-F215/12-(IF($Q$6=0,0,F201*Regions!N8/$Q$6))*Inputs!$D$52</f>
        <v>-36400.6574479901</v>
      </c>
      <c r="L223" s="43" t="n">
        <f aca="false">K223+(IF($Q$6=0,0,F201*Regions!O8/$Q$6))-(IF($Q$6=0,0,F202*F200*Regions!O8/$Q$6))-((IF($Q$6=0,0,F201*Regions!O8/$Q$6))*'Five Year'!$D$48)-(Inputs!$D$50*$H$9*(1+Inputs!$D$48)^2/12+IF(Regions!O8&gt;0,(F205-Inputs!$D$50*$H$9*(1+Inputs!$D$48)^2)/COUNTIF(Regions!$G$8:$R$8,"&gt;0"),0))-F206/12-F207/12-F213/12-F215/12-(IF($Q$6=0,0,F201*Regions!O8/$Q$6))*Inputs!$D$52</f>
        <v>22945.8618086667</v>
      </c>
      <c r="M223" s="43" t="n">
        <f aca="false">L223+(IF($Q$6=0,0,F201*Regions!P8/$Q$6))-(IF($Q$6=0,0,F202*F200*Regions!P8/$Q$6))-((IF($Q$6=0,0,F201*Regions!P8/$Q$6))*'Five Year'!$D$48)-(Inputs!$D$50*$H$9*(1+Inputs!$D$48)^2/12+IF(Regions!P8&gt;0,(F205-Inputs!$D$50*$H$9*(1+Inputs!$D$48)^2)/COUNTIF(Regions!$G$8:$R$8,"&gt;0"),0))-F206/12-F207/12-F213/12-F215/12-(IF($Q$6=0,0,F201*Regions!P8/$Q$6))*Inputs!$D$52</f>
        <v>82292.3810653235</v>
      </c>
      <c r="N223" s="43" t="n">
        <f aca="false">M223+(IF($Q$6=0,0,F201*Regions!Q8/$Q$6))-(IF($Q$6=0,0,F202*F200*Regions!Q8/$Q$6))-((IF($Q$6=0,0,F201*Regions!Q8/$Q$6))*'Five Year'!$D$48)-(Inputs!$D$50*$H$9*(1+Inputs!$D$48)^2/12+IF(Regions!Q8&gt;0,(F205-Inputs!$D$50*$H$9*(1+Inputs!$D$48)^2)/COUNTIF(Regions!$G$8:$R$8,"&gt;0"),0))-F206/12-F207/12-F213/12-F215/12-(IF($Q$6=0,0,F201*Regions!Q8/$Q$6))*Inputs!$D$52</f>
        <v>141638.90032198</v>
      </c>
      <c r="O223" s="43" t="n">
        <f aca="false">N223+(IF($Q$6=0,0,F201*Regions!R8/$Q$6))-(IF($Q$6=0,0,F202*F200*Regions!R8/$Q$6))-((IF($Q$6=0,0,F201*Regions!R8/$Q$6))*'Five Year'!$D$48)-(Inputs!$D$50*$H$9*(1+Inputs!$D$48)^2/12+IF(Regions!R8&gt;0,(F205-Inputs!$D$50*$H$9*(1+Inputs!$D$48)^2)/COUNTIF(Regions!$G$8:$R$8,"&gt;0"),0))-F206/12-F207/12-F213/12-F215/12-(IF($Q$6=0,0,F201*Regions!R8/$Q$6))*Inputs!$D$52</f>
        <v>200985.419578637</v>
      </c>
      <c r="Q223" s="43" t="n">
        <f aca="false">O223</f>
        <v>200985.419578637</v>
      </c>
      <c r="R223" s="43" t="n">
        <f aca="false">MIN(D223:O223)</f>
        <v>-392479.772987931</v>
      </c>
    </row>
    <row r="224" customFormat="false" ht="15" hidden="false" customHeight="true" outlineLevel="0" collapsed="false">
      <c r="B224" s="38" t="s">
        <v>183</v>
      </c>
      <c r="D224" s="43" t="n">
        <f aca="false">$Q223+(IF($Q$6=0,0,G201*Regions!G8/$Q$6))-(IF($Q$6=0,0,G202*G200*Regions!G8/$Q$6))-((IF($Q$6=0,0,G201*Regions!G8/$Q$6))*'Five Year'!$D$48)-(Inputs!$D$50*$H$9*(1+Inputs!$D$48)^3/12+IF(Regions!G8&gt;0,(G205-Inputs!$D$50*$H$9*(1+Inputs!$D$48)^3)/COUNTIF(Regions!$G$8:$R$8,"&gt;0"),0))-G206/12-G207/12-G213/12-G215/12-(IF($Q$6=0,0,G201*Regions!G8/$Q$6))*Inputs!$D$52</f>
        <v>115640.632461126</v>
      </c>
      <c r="E224" s="43" t="n">
        <f aca="false">D224+(IF($Q$6=0,0,G201*Regions!H8/$Q$6))-(IF($Q$6=0,0,G202*G200*Regions!H8/$Q$6))-((IF($Q$6=0,0,G201*Regions!H8/$Q$6))*'Five Year'!$D$48)-(Inputs!$D$50*$H$9*(1+Inputs!$D$48)^3/12+IF(Regions!H8&gt;0,(G205-Inputs!$D$50*$H$9*(1+Inputs!$D$48)^3)/COUNTIF(Regions!$G$8:$R$8,"&gt;0"),0))-G206/12-G207/12-G213/12-G215/12-(IF($Q$6=0,0,G201*Regions!H8/$Q$6))*Inputs!$D$52</f>
        <v>30295.8453436148</v>
      </c>
      <c r="F224" s="43" t="n">
        <f aca="false">E224+(IF($Q$6=0,0,G201*Regions!I8/$Q$6))-(IF($Q$6=0,0,G202*G200*Regions!I8/$Q$6))-((IF($Q$6=0,0,G201*Regions!I8/$Q$6))*'Five Year'!$D$48)-(Inputs!$D$50*$H$9*(1+Inputs!$D$48)^3/12+IF(Regions!I8&gt;0,(G205-Inputs!$D$50*$H$9*(1+Inputs!$D$48)^3)/COUNTIF(Regions!$G$8:$R$8,"&gt;0"),0))-G206/12-G207/12-G213/12-G215/12-(IF($Q$6=0,0,G201*Regions!I8/$Q$6))*Inputs!$D$52</f>
        <v>105069.151953496</v>
      </c>
      <c r="G224" s="43" t="n">
        <f aca="false">F224+(IF($Q$6=0,0,G201*Regions!J8/$Q$6))-(IF($Q$6=0,0,G202*G200*Regions!J8/$Q$6))-((IF($Q$6=0,0,G201*Regions!J8/$Q$6))*'Five Year'!$D$48)-(Inputs!$D$50*$H$9*(1+Inputs!$D$48)^3/12+IF(Regions!J8&gt;0,(G205-Inputs!$D$50*$H$9*(1+Inputs!$D$48)^3)/COUNTIF(Regions!$G$8:$R$8,"&gt;0"),0))-G206/12-G207/12-G213/12-G215/12-(IF($Q$6=0,0,G201*Regions!J8/$Q$6))*Inputs!$D$52</f>
        <v>179842.458563378</v>
      </c>
      <c r="H224" s="43" t="n">
        <f aca="false">G224+(IF($Q$6=0,0,G201*Regions!K8/$Q$6))-(IF($Q$6=0,0,G202*G200*Regions!K8/$Q$6))-((IF($Q$6=0,0,G201*Regions!K8/$Q$6))*'Five Year'!$D$48)-(Inputs!$D$50*$H$9*(1+Inputs!$D$48)^3/12+IF(Regions!K8&gt;0,(G205-Inputs!$D$50*$H$9*(1+Inputs!$D$48)^3)/COUNTIF(Regions!$G$8:$R$8,"&gt;0"),0))-G206/12-G207/12-G213/12-G215/12-(IF($Q$6=0,0,G201*Regions!K8/$Q$6))*Inputs!$D$52</f>
        <v>254615.76517326</v>
      </c>
      <c r="I224" s="43" t="n">
        <f aca="false">H224+(IF($Q$6=0,0,G201*Regions!L8/$Q$6))-(IF($Q$6=0,0,G202*G200*Regions!L8/$Q$6))-((IF($Q$6=0,0,G201*Regions!L8/$Q$6))*'Five Year'!$D$48)-(Inputs!$D$50*$H$9*(1+Inputs!$D$48)^3/12+IF(Regions!L8&gt;0,(G205-Inputs!$D$50*$H$9*(1+Inputs!$D$48)^3)/COUNTIF(Regions!$G$8:$R$8,"&gt;0"),0))-G206/12-G207/12-G213/12-G215/12-(IF($Q$6=0,0,G201*Regions!L8/$Q$6))*Inputs!$D$52</f>
        <v>329389.071783141</v>
      </c>
      <c r="J224" s="43" t="n">
        <f aca="false">I224+(IF($Q$6=0,0,G201*Regions!M8/$Q$6))-(IF($Q$6=0,0,G202*G200*Regions!M8/$Q$6))-((IF($Q$6=0,0,G201*Regions!M8/$Q$6))*'Five Year'!$D$48)-(Inputs!$D$50*$H$9*(1+Inputs!$D$48)^3/12+IF(Regions!M8&gt;0,(G205-Inputs!$D$50*$H$9*(1+Inputs!$D$48)^3)/COUNTIF(Regions!$G$8:$R$8,"&gt;0"),0))-G206/12-G207/12-G213/12-G215/12-(IF($Q$6=0,0,G201*Regions!M8/$Q$6))*Inputs!$D$52</f>
        <v>404162.378393023</v>
      </c>
      <c r="K224" s="43" t="n">
        <f aca="false">J224+(IF($Q$6=0,0,G201*Regions!N8/$Q$6))-(IF($Q$6=0,0,G202*G200*Regions!N8/$Q$6))-((IF($Q$6=0,0,G201*Regions!N8/$Q$6))*'Five Year'!$D$48)-(Inputs!$D$50*$H$9*(1+Inputs!$D$48)^3/12+IF(Regions!N8&gt;0,(G205-Inputs!$D$50*$H$9*(1+Inputs!$D$48)^3)/COUNTIF(Regions!$G$8:$R$8,"&gt;0"),0))-G206/12-G207/12-G213/12-G215/12-(IF($Q$6=0,0,G201*Regions!N8/$Q$6))*Inputs!$D$52</f>
        <v>478935.685002905</v>
      </c>
      <c r="L224" s="43" t="n">
        <f aca="false">K224+(IF($Q$6=0,0,G201*Regions!O8/$Q$6))-(IF($Q$6=0,0,G202*G200*Regions!O8/$Q$6))-((IF($Q$6=0,0,G201*Regions!O8/$Q$6))*'Five Year'!$D$48)-(Inputs!$D$50*$H$9*(1+Inputs!$D$48)^3/12+IF(Regions!O8&gt;0,(G205-Inputs!$D$50*$H$9*(1+Inputs!$D$48)^3)/COUNTIF(Regions!$G$8:$R$8,"&gt;0"),0))-G206/12-G207/12-G213/12-G215/12-(IF($Q$6=0,0,G201*Regions!O8/$Q$6))*Inputs!$D$52</f>
        <v>553708.991612786</v>
      </c>
      <c r="M224" s="43" t="n">
        <f aca="false">L224+(IF($Q$6=0,0,G201*Regions!P8/$Q$6))-(IF($Q$6=0,0,G202*G200*Regions!P8/$Q$6))-((IF($Q$6=0,0,G201*Regions!P8/$Q$6))*'Five Year'!$D$48)-(Inputs!$D$50*$H$9*(1+Inputs!$D$48)^3/12+IF(Regions!P8&gt;0,(G205-Inputs!$D$50*$H$9*(1+Inputs!$D$48)^3)/COUNTIF(Regions!$G$8:$R$8,"&gt;0"),0))-G206/12-G207/12-G213/12-G215/12-(IF($Q$6=0,0,G201*Regions!P8/$Q$6))*Inputs!$D$52</f>
        <v>628482.298222668</v>
      </c>
      <c r="N224" s="43" t="n">
        <f aca="false">M224+(IF($Q$6=0,0,G201*Regions!Q8/$Q$6))-(IF($Q$6=0,0,G202*G200*Regions!Q8/$Q$6))-((IF($Q$6=0,0,G201*Regions!Q8/$Q$6))*'Five Year'!$D$48)-(Inputs!$D$50*$H$9*(1+Inputs!$D$48)^3/12+IF(Regions!Q8&gt;0,(G205-Inputs!$D$50*$H$9*(1+Inputs!$D$48)^3)/COUNTIF(Regions!$G$8:$R$8,"&gt;0"),0))-G206/12-G207/12-G213/12-G215/12-(IF($Q$6=0,0,G201*Regions!Q8/$Q$6))*Inputs!$D$52</f>
        <v>703255.60483255</v>
      </c>
      <c r="O224" s="43" t="n">
        <f aca="false">N224+(IF($Q$6=0,0,G201*Regions!R8/$Q$6))-(IF($Q$6=0,0,G202*G200*Regions!R8/$Q$6))-((IF($Q$6=0,0,G201*Regions!R8/$Q$6))*'Five Year'!$D$48)-(Inputs!$D$50*$H$9*(1+Inputs!$D$48)^3/12+IF(Regions!R8&gt;0,(G205-Inputs!$D$50*$H$9*(1+Inputs!$D$48)^3)/COUNTIF(Regions!$G$8:$R$8,"&gt;0"),0))-G206/12-G207/12-G213/12-G215/12-(IF($Q$6=0,0,G201*Regions!R8/$Q$6))*Inputs!$D$52</f>
        <v>778028.911442432</v>
      </c>
      <c r="Q224" s="43" t="n">
        <f aca="false">O224</f>
        <v>778028.911442432</v>
      </c>
      <c r="R224" s="43" t="n">
        <f aca="false">MIN(D224:O224)</f>
        <v>30295.8453436148</v>
      </c>
    </row>
    <row r="225" customFormat="false" ht="15" hidden="false" customHeight="true" outlineLevel="0" collapsed="false">
      <c r="B225" s="38" t="s">
        <v>184</v>
      </c>
      <c r="D225" s="43" t="n">
        <f aca="false">$Q224+(IF($Q$6=0,0,H201*Regions!G8/$Q$6))-(IF($Q$6=0,0,H202*H200*Regions!G8/$Q$6))-((IF($Q$6=0,0,H201*Regions!G8/$Q$6))*'Five Year'!$D$48)-(Inputs!$D$50*$H$9*(1+Inputs!$D$48)^4/12+IF(Regions!G8&gt;0,(H205-Inputs!$D$50*$H$9*(1+Inputs!$D$48)^4)/COUNTIF(Regions!$G$8:$R$8,"&gt;0"),0))-H206/12-H207/12-H213/12-H215/12-(IF($Q$6=0,0,H201*Regions!G8/$Q$6))*Inputs!$D$52</f>
        <v>683343.768146833</v>
      </c>
      <c r="E225" s="43" t="n">
        <f aca="false">D225+(IF($Q$6=0,0,H201*Regions!H8/$Q$6))-(IF($Q$6=0,0,H202*H200*Regions!H8/$Q$6))-((IF($Q$6=0,0,H201*Regions!H8/$Q$6))*'Five Year'!$D$48)-(Inputs!$D$50*$H$9*(1+Inputs!$D$48)^4/12+IF(Regions!H8&gt;0,(H205-Inputs!$D$50*$H$9*(1+Inputs!$D$48)^4)/COUNTIF(Regions!$G$8:$R$8,"&gt;0"),0))-H206/12-H207/12-H213/12-H215/12-(IF($Q$6=0,0,H201*Regions!H8/$Q$6))*Inputs!$D$52</f>
        <v>588658.624851234</v>
      </c>
      <c r="F225" s="43" t="n">
        <f aca="false">E225+(IF($Q$6=0,0,H201*Regions!I8/$Q$6))-(IF($Q$6=0,0,H202*H200*Regions!I8/$Q$6))-((IF($Q$6=0,0,H201*Regions!I8/$Q$6))*'Five Year'!$D$48)-(Inputs!$D$50*$H$9*(1+Inputs!$D$48)^4/12+IF(Regions!I8&gt;0,(H205-Inputs!$D$50*$H$9*(1+Inputs!$D$48)^4)/COUNTIF(Regions!$G$8:$R$8,"&gt;0"),0))-H206/12-H207/12-H213/12-H215/12-(IF($Q$6=0,0,H201*Regions!I8/$Q$6))*Inputs!$D$52</f>
        <v>680226.438952775</v>
      </c>
      <c r="G225" s="43" t="n">
        <f aca="false">F225+(IF($Q$6=0,0,H201*Regions!J8/$Q$6))-(IF($Q$6=0,0,H202*H200*Regions!J8/$Q$6))-((IF($Q$6=0,0,H201*Regions!J8/$Q$6))*'Five Year'!$D$48)-(Inputs!$D$50*$H$9*(1+Inputs!$D$48)^4/12+IF(Regions!J8&gt;0,(H205-Inputs!$D$50*$H$9*(1+Inputs!$D$48)^4)/COUNTIF(Regions!$G$8:$R$8,"&gt;0"),0))-H206/12-H207/12-H213/12-H215/12-(IF($Q$6=0,0,H201*Regions!J8/$Q$6))*Inputs!$D$52</f>
        <v>771794.253054316</v>
      </c>
      <c r="H225" s="43" t="n">
        <f aca="false">G225+(IF($Q$6=0,0,H201*Regions!K8/$Q$6))-(IF($Q$6=0,0,H202*H200*Regions!K8/$Q$6))-((IF($Q$6=0,0,H201*Regions!K8/$Q$6))*'Five Year'!$D$48)-(Inputs!$D$50*$H$9*(1+Inputs!$D$48)^4/12+IF(Regions!K8&gt;0,(H205-Inputs!$D$50*$H$9*(1+Inputs!$D$48)^4)/COUNTIF(Regions!$G$8:$R$8,"&gt;0"),0))-H206/12-H207/12-H213/12-H215/12-(IF($Q$6=0,0,H201*Regions!K8/$Q$6))*Inputs!$D$52</f>
        <v>863362.067155857</v>
      </c>
      <c r="I225" s="43" t="n">
        <f aca="false">H225+(IF($Q$6=0,0,H201*Regions!L8/$Q$6))-(IF($Q$6=0,0,H202*H200*Regions!L8/$Q$6))-((IF($Q$6=0,0,H201*Regions!L8/$Q$6))*'Five Year'!$D$48)-(Inputs!$D$50*$H$9*(1+Inputs!$D$48)^4/12+IF(Regions!L8&gt;0,(H205-Inputs!$D$50*$H$9*(1+Inputs!$D$48)^4)/COUNTIF(Regions!$G$8:$R$8,"&gt;0"),0))-H206/12-H207/12-H213/12-H215/12-(IF($Q$6=0,0,H201*Regions!L8/$Q$6))*Inputs!$D$52</f>
        <v>954929.881257398</v>
      </c>
      <c r="J225" s="43" t="n">
        <f aca="false">I225+(IF($Q$6=0,0,H201*Regions!M8/$Q$6))-(IF($Q$6=0,0,H202*H200*Regions!M8/$Q$6))-((IF($Q$6=0,0,H201*Regions!M8/$Q$6))*'Five Year'!$D$48)-(Inputs!$D$50*$H$9*(1+Inputs!$D$48)^4/12+IF(Regions!M8&gt;0,(H205-Inputs!$D$50*$H$9*(1+Inputs!$D$48)^4)/COUNTIF(Regions!$G$8:$R$8,"&gt;0"),0))-H206/12-H207/12-H213/12-H215/12-(IF($Q$6=0,0,H201*Regions!M8/$Q$6))*Inputs!$D$52</f>
        <v>1046497.69535894</v>
      </c>
      <c r="K225" s="43" t="n">
        <f aca="false">J225+(IF($Q$6=0,0,H201*Regions!N8/$Q$6))-(IF($Q$6=0,0,H202*H200*Regions!N8/$Q$6))-((IF($Q$6=0,0,H201*Regions!N8/$Q$6))*'Five Year'!$D$48)-(Inputs!$D$50*$H$9*(1+Inputs!$D$48)^4/12+IF(Regions!N8&gt;0,(H205-Inputs!$D$50*$H$9*(1+Inputs!$D$48)^4)/COUNTIF(Regions!$G$8:$R$8,"&gt;0"),0))-H206/12-H207/12-H213/12-H215/12-(IF($Q$6=0,0,H201*Regions!N8/$Q$6))*Inputs!$D$52</f>
        <v>1138065.50946048</v>
      </c>
      <c r="L225" s="43" t="n">
        <f aca="false">K225+(IF($Q$6=0,0,H201*Regions!O8/$Q$6))-(IF($Q$6=0,0,H202*H200*Regions!O8/$Q$6))-((IF($Q$6=0,0,H201*Regions!O8/$Q$6))*'Five Year'!$D$48)-(Inputs!$D$50*$H$9*(1+Inputs!$D$48)^4/12+IF(Regions!O8&gt;0,(H205-Inputs!$D$50*$H$9*(1+Inputs!$D$48)^4)/COUNTIF(Regions!$G$8:$R$8,"&gt;0"),0))-H206/12-H207/12-H213/12-H215/12-(IF($Q$6=0,0,H201*Regions!O8/$Q$6))*Inputs!$D$52</f>
        <v>1229633.32356202</v>
      </c>
      <c r="M225" s="43" t="n">
        <f aca="false">L225+(IF($Q$6=0,0,H201*Regions!P8/$Q$6))-(IF($Q$6=0,0,H202*H200*Regions!P8/$Q$6))-((IF($Q$6=0,0,H201*Regions!P8/$Q$6))*'Five Year'!$D$48)-(Inputs!$D$50*$H$9*(1+Inputs!$D$48)^4/12+IF(Regions!P8&gt;0,(H205-Inputs!$D$50*$H$9*(1+Inputs!$D$48)^4)/COUNTIF(Regions!$G$8:$R$8,"&gt;0"),0))-H206/12-H207/12-H213/12-H215/12-(IF($Q$6=0,0,H201*Regions!P8/$Q$6))*Inputs!$D$52</f>
        <v>1321201.13766356</v>
      </c>
      <c r="N225" s="43" t="n">
        <f aca="false">M225+(IF($Q$6=0,0,H201*Regions!Q8/$Q$6))-(IF($Q$6=0,0,H202*H200*Regions!Q8/$Q$6))-((IF($Q$6=0,0,H201*Regions!Q8/$Q$6))*'Five Year'!$D$48)-(Inputs!$D$50*$H$9*(1+Inputs!$D$48)^4/12+IF(Regions!Q8&gt;0,(H205-Inputs!$D$50*$H$9*(1+Inputs!$D$48)^4)/COUNTIF(Regions!$G$8:$R$8,"&gt;0"),0))-H206/12-H207/12-H213/12-H215/12-(IF($Q$6=0,0,H201*Regions!Q8/$Q$6))*Inputs!$D$52</f>
        <v>1412768.95176511</v>
      </c>
      <c r="O225" s="43" t="n">
        <f aca="false">N225+(IF($Q$6=0,0,H201*Regions!R8/$Q$6))-(IF($Q$6=0,0,H202*H200*Regions!R8/$Q$6))-((IF($Q$6=0,0,H201*Regions!R8/$Q$6))*'Five Year'!$D$48)-(Inputs!$D$50*$H$9*(1+Inputs!$D$48)^4/12+IF(Regions!R8&gt;0,(H205-Inputs!$D$50*$H$9*(1+Inputs!$D$48)^4)/COUNTIF(Regions!$G$8:$R$8,"&gt;0"),0))-H206/12-H207/12-H213/12-H215/12-(IF($Q$6=0,0,H201*Regions!R8/$Q$6))*Inputs!$D$52</f>
        <v>1504336.76586665</v>
      </c>
      <c r="Q225" s="43" t="n">
        <f aca="false">O225</f>
        <v>1504336.76586665</v>
      </c>
      <c r="R225" s="43" t="n">
        <f aca="false">MIN(D225:O225)</f>
        <v>588658.624851234</v>
      </c>
    </row>
    <row r="226" customFormat="false" ht="15" hidden="false" customHeight="true" outlineLevel="0" collapsed="false">
      <c r="B226" s="37" t="s">
        <v>185</v>
      </c>
      <c r="D226" s="43" t="n">
        <f aca="false">MIN(R221:R225)</f>
        <v>-644630.484219396</v>
      </c>
    </row>
    <row r="238" customFormat="false" ht="15" hidden="false" customHeight="true" outlineLevel="0" collapsed="false">
      <c r="B238" s="55" t="s">
        <v>190</v>
      </c>
    </row>
    <row r="239" customFormat="false" ht="15" hidden="false" customHeight="true" outlineLevel="0" collapsed="false">
      <c r="D239" s="37" t="s">
        <v>99</v>
      </c>
      <c r="E239" s="37" t="s">
        <v>100</v>
      </c>
      <c r="F239" s="37" t="s">
        <v>101</v>
      </c>
      <c r="G239" s="37" t="s">
        <v>102</v>
      </c>
      <c r="H239" s="37" t="s">
        <v>103</v>
      </c>
    </row>
    <row r="240" customFormat="false" ht="15" hidden="false" customHeight="true" outlineLevel="0" collapsed="false">
      <c r="B240" s="38" t="s">
        <v>104</v>
      </c>
      <c r="D240" s="42" t="n">
        <f aca="false">MAX(0,'Five Year'!D$50-$I$6)</f>
        <v>0.4</v>
      </c>
      <c r="E240" s="42" t="n">
        <f aca="false">MAX(0,'Five Year'!E$50-$I$6)</f>
        <v>0.48</v>
      </c>
      <c r="F240" s="42" t="n">
        <f aca="false">MAX(0,'Five Year'!F$50-$I$6)</f>
        <v>0.55</v>
      </c>
      <c r="G240" s="42" t="n">
        <f aca="false">MAX(0,'Five Year'!G$50-$I$6)</f>
        <v>0.6</v>
      </c>
      <c r="H240" s="42" t="n">
        <f aca="false">MAX(0,'Five Year'!H$50-$I$6)</f>
        <v>0.65</v>
      </c>
    </row>
    <row r="241" customFormat="false" ht="15" hidden="false" customHeight="true" outlineLevel="0" collapsed="false">
      <c r="B241" s="38" t="s">
        <v>106</v>
      </c>
      <c r="D241" s="43" t="n">
        <f aca="false">'Five Year'!$D$49*$I$7*(1+Inputs!$D$49)^0</f>
        <v>6500</v>
      </c>
      <c r="E241" s="43" t="n">
        <f aca="false">'Five Year'!$D$49*$I$7*(1+Inputs!$D$49)^1</f>
        <v>6890</v>
      </c>
      <c r="F241" s="43" t="n">
        <f aca="false">'Five Year'!$D$49*$I$7*(1+Inputs!$D$49)^2</f>
        <v>7303.4</v>
      </c>
      <c r="G241" s="43" t="n">
        <f aca="false">'Five Year'!$D$49*$I$7*(1+Inputs!$D$49)^3</f>
        <v>7741.604</v>
      </c>
      <c r="H241" s="43" t="n">
        <f aca="false">'Five Year'!$D$49*$I$7*(1+Inputs!$D$49)^4</f>
        <v>8206.10024</v>
      </c>
    </row>
    <row r="242" customFormat="false" ht="15" hidden="false" customHeight="true" outlineLevel="0" collapsed="false">
      <c r="B242" s="38" t="s">
        <v>107</v>
      </c>
      <c r="D242" s="44" t="n">
        <f aca="false">Inputs!$D$16*D240</f>
        <v>320</v>
      </c>
      <c r="E242" s="44" t="n">
        <f aca="false">Inputs!$D$16*E240</f>
        <v>384</v>
      </c>
      <c r="F242" s="44" t="n">
        <f aca="false">Inputs!$D$16*F240</f>
        <v>440</v>
      </c>
      <c r="G242" s="44" t="n">
        <f aca="false">Inputs!$D$16*G240</f>
        <v>480</v>
      </c>
      <c r="H242" s="44" t="n">
        <f aca="false">Inputs!$D$16*H240</f>
        <v>520</v>
      </c>
    </row>
    <row r="243" customFormat="false" ht="15" hidden="false" customHeight="true" outlineLevel="0" collapsed="false">
      <c r="B243" s="38" t="s">
        <v>108</v>
      </c>
      <c r="D243" s="43" t="n">
        <f aca="false">D242*D241</f>
        <v>2080000</v>
      </c>
      <c r="E243" s="43" t="n">
        <f aca="false">E242*E241</f>
        <v>2645760</v>
      </c>
      <c r="F243" s="43" t="n">
        <f aca="false">F242*F241</f>
        <v>3213496</v>
      </c>
      <c r="G243" s="43" t="n">
        <f aca="false">G242*G241</f>
        <v>3715969.92</v>
      </c>
      <c r="H243" s="43" t="n">
        <f aca="false">H242*H241</f>
        <v>4267172.1248</v>
      </c>
    </row>
    <row r="244" customFormat="false" ht="15" hidden="false" customHeight="true" outlineLevel="0" collapsed="false">
      <c r="B244" s="38" t="s">
        <v>109</v>
      </c>
      <c r="D244" s="45" t="n">
        <f aca="false">((Inputs!$E$41*'Five Year'!$D$46*$I$10/Capital!$I$6)*(1+Inputs!$D$47)^0+Inputs!$E$42*'Five Year'!$D$46*(1+Inputs!$D$48)^0)*$I$8</f>
        <v>1153.36676795654</v>
      </c>
      <c r="E244" s="45" t="n">
        <f aca="false">((Inputs!$E$41*'Five Year'!$D$46*$I$10/Capital!$I$6)*(1+Inputs!$D$47)^1+Inputs!$E$42*'Five Year'!$D$46*(1+Inputs!$D$48)^1)*$I$8</f>
        <v>1200.06877403394</v>
      </c>
      <c r="F244" s="45" t="n">
        <f aca="false">((Inputs!$E$41*'Five Year'!$D$46*$I$10/Capital!$I$6)*(1+Inputs!$D$47)^2+Inputs!$E$42*'Five Year'!$D$46*(1+Inputs!$D$48)^2)*$I$8</f>
        <v>1248.89790047597</v>
      </c>
      <c r="G244" s="45" t="n">
        <f aca="false">((Inputs!$E$41*'Five Year'!$D$46*$I$10/Capital!$I$6)*(1+Inputs!$D$47)^3+Inputs!$E$42*'Five Year'!$D$46*(1+Inputs!$D$48)^3)*$I$8</f>
        <v>1299.96152450453</v>
      </c>
      <c r="H244" s="45" t="n">
        <f aca="false">((Inputs!$E$41*'Five Year'!$D$46*$I$10/Capital!$I$6)*(1+Inputs!$D$47)^4+Inputs!$E$42*'Five Year'!$D$46*(1+Inputs!$D$48)^4)*$I$8</f>
        <v>1353.3728584748</v>
      </c>
    </row>
    <row r="245" customFormat="false" ht="15" hidden="false" customHeight="true" outlineLevel="0" collapsed="false">
      <c r="B245" s="38" t="s">
        <v>110</v>
      </c>
      <c r="D245" s="43" t="n">
        <f aca="false">D244*D242</f>
        <v>369077.365746094</v>
      </c>
      <c r="E245" s="43" t="n">
        <f aca="false">E244*E242</f>
        <v>460826.409229032</v>
      </c>
      <c r="F245" s="43" t="n">
        <f aca="false">F244*F242</f>
        <v>549515.076209428</v>
      </c>
      <c r="G245" s="43" t="n">
        <f aca="false">G244*G242</f>
        <v>623981.531762175</v>
      </c>
      <c r="H245" s="43" t="n">
        <f aca="false">H244*H242</f>
        <v>703753.886406898</v>
      </c>
    </row>
    <row r="246" customFormat="false" ht="15" hidden="false" customHeight="true" outlineLevel="0" collapsed="false">
      <c r="B246" s="38" t="s">
        <v>111</v>
      </c>
      <c r="D246" s="43" t="n">
        <f aca="false">D243*'Five Year'!$D$48</f>
        <v>249600</v>
      </c>
      <c r="E246" s="43" t="n">
        <f aca="false">E243*'Five Year'!$D$48</f>
        <v>317491.2</v>
      </c>
      <c r="F246" s="43" t="n">
        <f aca="false">F243*'Five Year'!$D$48</f>
        <v>385619.52</v>
      </c>
      <c r="G246" s="43" t="n">
        <f aca="false">G243*'Five Year'!$D$48</f>
        <v>445916.3904</v>
      </c>
      <c r="H246" s="43" t="n">
        <f aca="false">H243*'Five Year'!$D$48</f>
        <v>512060.654976</v>
      </c>
    </row>
    <row r="247" customFormat="false" ht="15" hidden="false" customHeight="true" outlineLevel="0" collapsed="false">
      <c r="B247" s="38" t="s">
        <v>112</v>
      </c>
      <c r="D247" s="43" t="n">
        <f aca="false">MAX(Inputs!$D$50*$I$9*(1+Inputs!$D$48)^0,Inputs!$D$51*D243)</f>
        <v>166400</v>
      </c>
      <c r="E247" s="43" t="n">
        <f aca="false">MAX(Inputs!$D$50*$I$9*(1+Inputs!$D$48)^1,Inputs!$D$51*E243)</f>
        <v>211660.8</v>
      </c>
      <c r="F247" s="43" t="n">
        <f aca="false">MAX(Inputs!$D$50*$I$9*(1+Inputs!$D$48)^2,Inputs!$D$51*F243)</f>
        <v>257079.68</v>
      </c>
      <c r="G247" s="43" t="n">
        <f aca="false">MAX(Inputs!$D$50*$I$9*(1+Inputs!$D$48)^3,Inputs!$D$51*G243)</f>
        <v>297277.5936</v>
      </c>
      <c r="H247" s="43" t="n">
        <f aca="false">MAX(Inputs!$D$50*$I$9*(1+Inputs!$D$48)^4,Inputs!$D$51*H243)</f>
        <v>341373.769984</v>
      </c>
    </row>
    <row r="248" customFormat="false" ht="15" hidden="false" customHeight="true" outlineLevel="0" collapsed="false">
      <c r="B248" s="38" t="s">
        <v>113</v>
      </c>
      <c r="D248" s="43" t="n">
        <f aca="false">((Inputs!$E$28*'Five Year'!$D$47*$I$10/Capital!$I$6)*(1+Inputs!$D$47)^0+Inputs!$E$29*'Five Year'!$D$47*(1+Inputs!$D$48)^0)*$I$8</f>
        <v>384066.3852063</v>
      </c>
      <c r="E248" s="43" t="n">
        <f aca="false">((Inputs!$E$28*'Five Year'!$D$47*$I$10/Capital!$I$6)*(1+Inputs!$D$47)^1+Inputs!$E$29*'Five Year'!$D$47*(1+Inputs!$D$48)^1)*$I$8</f>
        <v>406210.368318678</v>
      </c>
      <c r="F248" s="43" t="n">
        <f aca="false">((Inputs!$E$28*'Five Year'!$D$47*$I$10/Capital!$I$6)*(1+Inputs!$D$47)^2+Inputs!$E$29*'Five Year'!$D$47*(1+Inputs!$D$48)^2)*$I$8</f>
        <v>429655.990417798</v>
      </c>
      <c r="G248" s="43" t="n">
        <f aca="false">((Inputs!$E$28*'Five Year'!$D$47*$I$10/Capital!$I$6)*(1+Inputs!$D$47)^3+Inputs!$E$29*'Five Year'!$D$47*(1+Inputs!$D$48)^3)*$I$8</f>
        <v>454480.539842866</v>
      </c>
      <c r="H248" s="43" t="n">
        <f aca="false">((Inputs!$E$28*'Five Year'!$D$47*$I$10/Capital!$I$6)*(1+Inputs!$D$47)^4+Inputs!$E$29*'Five Year'!$D$47*(1+Inputs!$D$48)^4)*$I$8</f>
        <v>480765.917933438</v>
      </c>
    </row>
    <row r="249" customFormat="false" ht="15" hidden="false" customHeight="true" outlineLevel="0" collapsed="false">
      <c r="B249" s="38" t="s">
        <v>114</v>
      </c>
      <c r="D249" s="43" t="n">
        <f aca="false">Inputs!$E$30*'Five Year'!$D$47*(1+Inputs!$D$48)^0*$I$8</f>
        <v>60000</v>
      </c>
      <c r="E249" s="43" t="n">
        <f aca="false">Inputs!$E$30*'Five Year'!$D$47*(1+Inputs!$D$48)^1*$I$8</f>
        <v>61800</v>
      </c>
      <c r="F249" s="43" t="n">
        <f aca="false">Inputs!$E$30*'Five Year'!$D$47*(1+Inputs!$D$48)^2*$I$8</f>
        <v>63654</v>
      </c>
      <c r="G249" s="43" t="n">
        <f aca="false">Inputs!$E$30*'Five Year'!$D$47*(1+Inputs!$D$48)^3*$I$8</f>
        <v>65563.62</v>
      </c>
      <c r="H249" s="43" t="n">
        <f aca="false">Inputs!$E$30*'Five Year'!$D$47*(1+Inputs!$D$48)^4*$I$8</f>
        <v>67530.5286</v>
      </c>
    </row>
    <row r="250" customFormat="false" ht="15" hidden="false" customHeight="true" outlineLevel="0" collapsed="false">
      <c r="B250" s="37" t="s">
        <v>115</v>
      </c>
      <c r="D250" s="43" t="n">
        <f aca="false">D243-D245-D246-D247-D248-D249</f>
        <v>850856.249047606</v>
      </c>
      <c r="E250" s="43" t="n">
        <f aca="false">E243-E245-E246-E247-E248-E249</f>
        <v>1187771.22245229</v>
      </c>
      <c r="F250" s="43" t="n">
        <f aca="false">F243-F245-F246-F247-F248-F249</f>
        <v>1527971.73337277</v>
      </c>
      <c r="G250" s="43" t="n">
        <f aca="false">G243-G245-G246-G247-G248-G249</f>
        <v>1828750.24439496</v>
      </c>
      <c r="H250" s="43" t="n">
        <f aca="false">H243-H245-H246-H247-H248-H249</f>
        <v>2161687.36689967</v>
      </c>
    </row>
    <row r="251" customFormat="false" ht="15" hidden="false" customHeight="true" outlineLevel="0" collapsed="false">
      <c r="B251" s="38" t="s">
        <v>116</v>
      </c>
      <c r="D251" s="46" t="n">
        <f aca="false">IF(D243=0,0,D250/D243)</f>
        <v>0.409065504349811</v>
      </c>
      <c r="E251" s="46" t="n">
        <f aca="false">IF(E243=0,0,E250/E243)</f>
        <v>0.448933849802057</v>
      </c>
      <c r="F251" s="46" t="n">
        <f aca="false">IF(F243=0,0,F250/F243)</f>
        <v>0.47548580529516</v>
      </c>
      <c r="G251" s="46" t="n">
        <f aca="false">IF(G243=0,0,G250/G243)</f>
        <v>0.492132682385911</v>
      </c>
      <c r="H251" s="46" t="n">
        <f aca="false">IF(H243=0,0,H250/H243)</f>
        <v>0.5065854630837</v>
      </c>
    </row>
    <row r="252" customFormat="false" ht="15" hidden="false" customHeight="true" outlineLevel="0" collapsed="false">
      <c r="B252" s="38" t="s">
        <v>117</v>
      </c>
      <c r="D252" s="43" t="n">
        <f aca="false">D243*Inputs!$D$52</f>
        <v>62400</v>
      </c>
      <c r="E252" s="43" t="n">
        <f aca="false">E243*Inputs!$D$52</f>
        <v>79372.8</v>
      </c>
      <c r="F252" s="43" t="n">
        <f aca="false">F243*Inputs!$D$52</f>
        <v>96404.88</v>
      </c>
      <c r="G252" s="43" t="n">
        <f aca="false">G243*Inputs!$D$52</f>
        <v>111479.0976</v>
      </c>
      <c r="H252" s="43" t="n">
        <f aca="false">H243*Inputs!$D$52</f>
        <v>128015.163744</v>
      </c>
    </row>
    <row r="253" customFormat="false" ht="15" hidden="false" customHeight="true" outlineLevel="0" collapsed="false">
      <c r="B253" s="38" t="s">
        <v>118</v>
      </c>
      <c r="D253" s="43" t="n">
        <f aca="false">'Asset Register'!$L$25+0/5+D252/10</f>
        <v>308829.924069433</v>
      </c>
      <c r="E253" s="43" t="n">
        <f aca="false">'Asset Register'!$L$26+SUM($D252:D252)/5+E252/10</f>
        <v>323007.204069433</v>
      </c>
      <c r="F253" s="43" t="n">
        <f aca="false">'Asset Register'!$L$27+SUM($D252:E252)/5+F252/10</f>
        <v>340584.972069433</v>
      </c>
      <c r="G253" s="43" t="n">
        <f aca="false">'Asset Register'!$L$28+SUM($D252:F252)/5+G252/10</f>
        <v>361373.369829433</v>
      </c>
      <c r="H253" s="43" t="n">
        <f aca="false">'Asset Register'!$L$29+SUM($D252:G252)/5+H252/10</f>
        <v>385322.795963833</v>
      </c>
    </row>
    <row r="254" customFormat="false" ht="15" hidden="false" customHeight="true" outlineLevel="0" collapsed="false">
      <c r="B254" s="38" t="s">
        <v>119</v>
      </c>
      <c r="D254" s="43" t="n">
        <f aca="false">D250-D253</f>
        <v>542026.324978173</v>
      </c>
      <c r="E254" s="43" t="n">
        <f aca="false">E250-E253</f>
        <v>864764.018382857</v>
      </c>
      <c r="F254" s="43" t="n">
        <f aca="false">F250-F253</f>
        <v>1187386.76130334</v>
      </c>
      <c r="G254" s="43" t="n">
        <f aca="false">G250-G253</f>
        <v>1467376.87456553</v>
      </c>
      <c r="H254" s="43" t="n">
        <f aca="false">H250-H253</f>
        <v>1776364.57093583</v>
      </c>
    </row>
    <row r="255" customFormat="false" ht="15" hidden="false" customHeight="true" outlineLevel="0" collapsed="false">
      <c r="B255" s="38" t="s">
        <v>120</v>
      </c>
      <c r="D255" s="43" t="n">
        <f aca="false">MAX(0,D254)*Inputs!$D$54</f>
        <v>162607.897493452</v>
      </c>
      <c r="E255" s="43" t="n">
        <f aca="false">MAX(0,E254)*Inputs!$D$54</f>
        <v>259429.205514857</v>
      </c>
      <c r="F255" s="43" t="n">
        <f aca="false">MAX(0,F254)*Inputs!$D$54</f>
        <v>356216.028391002</v>
      </c>
      <c r="G255" s="43" t="n">
        <f aca="false">MAX(0,G254)*Inputs!$D$54</f>
        <v>440213.062369658</v>
      </c>
      <c r="H255" s="43" t="n">
        <f aca="false">MAX(0,H254)*Inputs!$D$54</f>
        <v>532909.37128075</v>
      </c>
    </row>
    <row r="256" customFormat="false" ht="15" hidden="false" customHeight="true" outlineLevel="0" collapsed="false">
      <c r="B256" s="38" t="s">
        <v>121</v>
      </c>
      <c r="D256" s="43" t="n">
        <f aca="false">D254-D255</f>
        <v>379418.427484721</v>
      </c>
      <c r="E256" s="43" t="n">
        <f aca="false">E254-E255</f>
        <v>605334.812868</v>
      </c>
      <c r="F256" s="43" t="n">
        <f aca="false">F254-F255</f>
        <v>831170.732912339</v>
      </c>
      <c r="G256" s="43" t="n">
        <f aca="false">G254-G255</f>
        <v>1027163.81219587</v>
      </c>
      <c r="H256" s="43" t="n">
        <f aca="false">H254-H255</f>
        <v>1243455.19965508</v>
      </c>
    </row>
    <row r="257" customFormat="false" ht="15" hidden="false" customHeight="true" outlineLevel="0" collapsed="false">
      <c r="B257" s="38" t="s">
        <v>122</v>
      </c>
      <c r="D257" s="43" t="n">
        <f aca="false">(D243-0)*Inputs!$D$53</f>
        <v>104000</v>
      </c>
      <c r="E257" s="43" t="n">
        <f aca="false">(E243-D243)*Inputs!$D$53</f>
        <v>28288</v>
      </c>
      <c r="F257" s="43" t="n">
        <f aca="false">(F243-E243)*Inputs!$D$53</f>
        <v>28386.8</v>
      </c>
      <c r="G257" s="43" t="n">
        <f aca="false">(G243-F243)*Inputs!$D$53</f>
        <v>25123.696</v>
      </c>
      <c r="H257" s="43" t="n">
        <f aca="false">(H243-G243)*Inputs!$D$53</f>
        <v>27560.1102400001</v>
      </c>
    </row>
    <row r="258" customFormat="false" ht="15" hidden="false" customHeight="true" outlineLevel="0" collapsed="false">
      <c r="B258" s="37" t="s">
        <v>123</v>
      </c>
      <c r="D258" s="43" t="n">
        <f aca="false">D250-D255-D252-D257</f>
        <v>521848.351554154</v>
      </c>
      <c r="E258" s="43" t="n">
        <f aca="false">E250-E255-E252-E257</f>
        <v>820681.216937433</v>
      </c>
      <c r="F258" s="43" t="n">
        <f aca="false">F250-F255-F252-F257</f>
        <v>1046964.02498177</v>
      </c>
      <c r="G258" s="43" t="n">
        <f aca="false">G250-G255-G252-G257</f>
        <v>1251934.3884253</v>
      </c>
      <c r="H258" s="43" t="n">
        <f aca="false">H250-H255-H252-H257</f>
        <v>1473202.72163492</v>
      </c>
    </row>
    <row r="259" customFormat="false" ht="15" hidden="false" customHeight="true" outlineLevel="0" collapsed="false">
      <c r="B259" s="37" t="s">
        <v>124</v>
      </c>
      <c r="D259" s="43" t="n">
        <f aca="false">Capital!$I$39+D258</f>
        <v>1109703.65986082</v>
      </c>
      <c r="E259" s="43" t="n">
        <f aca="false">D259+E258</f>
        <v>1930384.87679825</v>
      </c>
      <c r="F259" s="43" t="n">
        <f aca="false">E259+F258</f>
        <v>2977348.90178003</v>
      </c>
      <c r="G259" s="43" t="n">
        <f aca="false">F259+G258</f>
        <v>4229283.29020533</v>
      </c>
      <c r="H259" s="43" t="n">
        <f aca="false">G259+H258</f>
        <v>5702486.01184024</v>
      </c>
    </row>
    <row r="262" customFormat="false" ht="15" hidden="false" customHeight="true" outlineLevel="0" collapsed="false">
      <c r="B262" s="37" t="s">
        <v>179</v>
      </c>
    </row>
    <row r="263" customFormat="false" ht="15" hidden="false" customHeight="true" outlineLevel="0" collapsed="false">
      <c r="B263" s="38" t="s">
        <v>180</v>
      </c>
      <c r="D263" s="43" t="n">
        <f aca="false">Capital!$I$39+(IF($Q$6=0,0,D243*Regions!G8/$Q$6))-(IF($Q$6=0,0,D244*D242*Regions!G8/$Q$6))-((IF($Q$6=0,0,D243*Regions!G8/$Q$6))*'Five Year'!$D$48)-(Inputs!$D$50*$I$9*(1+Inputs!$D$48)^0/12+IF(Regions!G8&gt;0,(D247-Inputs!$D$50*$I$9*(1+Inputs!$D$48)^0)/COUNTIF(Regions!$G$8:$R$8,"&gt;0"),0))-D248/12-D249/12-D255/12-D257/12-(IF($Q$6=0,0,D243*Regions!G8/$Q$6))*Inputs!$D$52</f>
        <v>520299.118081686</v>
      </c>
      <c r="E263" s="43" t="n">
        <f aca="false">D263+(IF($Q$6=0,0,D243*Regions!H8/$Q$6))-(IF($Q$6=0,0,D244*D242*Regions!H8/$Q$6))-((IF($Q$6=0,0,D243*Regions!H8/$Q$6))*'Five Year'!$D$48)-(Inputs!$D$50*$I$9*(1+Inputs!$D$48)^0/12+IF(Regions!H8&gt;0,(D247-Inputs!$D$50*$I$9*(1+Inputs!$D$48)^0)/COUNTIF(Regions!$G$8:$R$8,"&gt;0"),0))-D248/12-D249/12-D255/12-D257/12-(IF($Q$6=0,0,D243*Regions!H8/$Q$6))*Inputs!$D$52</f>
        <v>452742.927856707</v>
      </c>
      <c r="F263" s="43" t="n">
        <f aca="false">E263+(IF($Q$6=0,0,D243*Regions!I8/$Q$6))-(IF($Q$6=0,0,D244*D242*Regions!I8/$Q$6))-((IF($Q$6=0,0,D243*Regions!I8/$Q$6))*'Five Year'!$D$48)-(Inputs!$D$50*$I$9*(1+Inputs!$D$48)^0/12+IF(Regions!I8&gt;0,(D247-Inputs!$D$50*$I$9*(1+Inputs!$D$48)^0)/COUNTIF(Regions!$G$8:$R$8,"&gt;0"),0))-D248/12-D249/12-D255/12-D257/12-(IF($Q$6=0,0,D243*Regions!I8/$Q$6))*Inputs!$D$52</f>
        <v>518439.001057118</v>
      </c>
      <c r="G263" s="43" t="n">
        <f aca="false">F263+(IF($Q$6=0,0,D243*Regions!J8/$Q$6))-(IF($Q$6=0,0,D244*D242*Regions!J8/$Q$6))-((IF($Q$6=0,0,D243*Regions!J8/$Q$6))*'Five Year'!$D$48)-(Inputs!$D$50*$I$9*(1+Inputs!$D$48)^0/12+IF(Regions!J8&gt;0,(D247-Inputs!$D$50*$I$9*(1+Inputs!$D$48)^0)/COUNTIF(Regions!$G$8:$R$8,"&gt;0"),0))-D248/12-D249/12-D255/12-D257/12-(IF($Q$6=0,0,D243*Regions!J8/$Q$6))*Inputs!$D$52</f>
        <v>584135.07425753</v>
      </c>
      <c r="H263" s="43" t="n">
        <f aca="false">G263+(IF($Q$6=0,0,D243*Regions!K8/$Q$6))-(IF($Q$6=0,0,D244*D242*Regions!K8/$Q$6))-((IF($Q$6=0,0,D243*Regions!K8/$Q$6))*'Five Year'!$D$48)-(Inputs!$D$50*$I$9*(1+Inputs!$D$48)^0/12+IF(Regions!K8&gt;0,(D247-Inputs!$D$50*$I$9*(1+Inputs!$D$48)^0)/COUNTIF(Regions!$G$8:$R$8,"&gt;0"),0))-D248/12-D249/12-D255/12-D257/12-(IF($Q$6=0,0,D243*Regions!K8/$Q$6))*Inputs!$D$52</f>
        <v>649831.147457941</v>
      </c>
      <c r="I263" s="43" t="n">
        <f aca="false">H263+(IF($Q$6=0,0,D243*Regions!L8/$Q$6))-(IF($Q$6=0,0,D244*D242*Regions!L8/$Q$6))-((IF($Q$6=0,0,D243*Regions!L8/$Q$6))*'Five Year'!$D$48)-(Inputs!$D$50*$I$9*(1+Inputs!$D$48)^0/12+IF(Regions!L8&gt;0,(D247-Inputs!$D$50*$I$9*(1+Inputs!$D$48)^0)/COUNTIF(Regions!$G$8:$R$8,"&gt;0"),0))-D248/12-D249/12-D255/12-D257/12-(IF($Q$6=0,0,D243*Regions!L8/$Q$6))*Inputs!$D$52</f>
        <v>715527.220658352</v>
      </c>
      <c r="J263" s="43" t="n">
        <f aca="false">I263+(IF($Q$6=0,0,D243*Regions!M8/$Q$6))-(IF($Q$6=0,0,D244*D242*Regions!M8/$Q$6))-((IF($Q$6=0,0,D243*Regions!M8/$Q$6))*'Five Year'!$D$48)-(Inputs!$D$50*$I$9*(1+Inputs!$D$48)^0/12+IF(Regions!M8&gt;0,(D247-Inputs!$D$50*$I$9*(1+Inputs!$D$48)^0)/COUNTIF(Regions!$G$8:$R$8,"&gt;0"),0))-D248/12-D249/12-D255/12-D257/12-(IF($Q$6=0,0,D243*Regions!M8/$Q$6))*Inputs!$D$52</f>
        <v>781223.293858763</v>
      </c>
      <c r="K263" s="43" t="n">
        <f aca="false">J263+(IF($Q$6=0,0,D243*Regions!N8/$Q$6))-(IF($Q$6=0,0,D244*D242*Regions!N8/$Q$6))-((IF($Q$6=0,0,D243*Regions!N8/$Q$6))*'Five Year'!$D$48)-(Inputs!$D$50*$I$9*(1+Inputs!$D$48)^0/12+IF(Regions!N8&gt;0,(D247-Inputs!$D$50*$I$9*(1+Inputs!$D$48)^0)/COUNTIF(Regions!$G$8:$R$8,"&gt;0"),0))-D248/12-D249/12-D255/12-D257/12-(IF($Q$6=0,0,D243*Regions!N8/$Q$6))*Inputs!$D$52</f>
        <v>846919.367059175</v>
      </c>
      <c r="L263" s="43" t="n">
        <f aca="false">K263+(IF($Q$6=0,0,D243*Regions!O8/$Q$6))-(IF($Q$6=0,0,D244*D242*Regions!O8/$Q$6))-((IF($Q$6=0,0,D243*Regions!O8/$Q$6))*'Five Year'!$D$48)-(Inputs!$D$50*$I$9*(1+Inputs!$D$48)^0/12+IF(Regions!O8&gt;0,(D247-Inputs!$D$50*$I$9*(1+Inputs!$D$48)^0)/COUNTIF(Regions!$G$8:$R$8,"&gt;0"),0))-D248/12-D249/12-D255/12-D257/12-(IF($Q$6=0,0,D243*Regions!O8/$Q$6))*Inputs!$D$52</f>
        <v>912615.440259586</v>
      </c>
      <c r="M263" s="43" t="n">
        <f aca="false">L263+(IF($Q$6=0,0,D243*Regions!P8/$Q$6))-(IF($Q$6=0,0,D244*D242*Regions!P8/$Q$6))-((IF($Q$6=0,0,D243*Regions!P8/$Q$6))*'Five Year'!$D$48)-(Inputs!$D$50*$I$9*(1+Inputs!$D$48)^0/12+IF(Regions!P8&gt;0,(D247-Inputs!$D$50*$I$9*(1+Inputs!$D$48)^0)/COUNTIF(Regions!$G$8:$R$8,"&gt;0"),0))-D248/12-D249/12-D255/12-D257/12-(IF($Q$6=0,0,D243*Regions!P8/$Q$6))*Inputs!$D$52</f>
        <v>978311.513459998</v>
      </c>
      <c r="N263" s="43" t="n">
        <f aca="false">M263+(IF($Q$6=0,0,D243*Regions!Q8/$Q$6))-(IF($Q$6=0,0,D244*D242*Regions!Q8/$Q$6))-((IF($Q$6=0,0,D243*Regions!Q8/$Q$6))*'Five Year'!$D$48)-(Inputs!$D$50*$I$9*(1+Inputs!$D$48)^0/12+IF(Regions!Q8&gt;0,(D247-Inputs!$D$50*$I$9*(1+Inputs!$D$48)^0)/COUNTIF(Regions!$G$8:$R$8,"&gt;0"),0))-D248/12-D249/12-D255/12-D257/12-(IF($Q$6=0,0,D243*Regions!Q8/$Q$6))*Inputs!$D$52</f>
        <v>1044007.58666041</v>
      </c>
      <c r="O263" s="43" t="n">
        <f aca="false">N263+(IF($Q$6=0,0,D243*Regions!R8/$Q$6))-(IF($Q$6=0,0,D244*D242*Regions!R8/$Q$6))-((IF($Q$6=0,0,D243*Regions!R8/$Q$6))*'Five Year'!$D$48)-(Inputs!$D$50*$I$9*(1+Inputs!$D$48)^0/12+IF(Regions!R8&gt;0,(D247-Inputs!$D$50*$I$9*(1+Inputs!$D$48)^0)/COUNTIF(Regions!$G$8:$R$8,"&gt;0"),0))-D248/12-D249/12-D255/12-D257/12-(IF($Q$6=0,0,D243*Regions!R8/$Q$6))*Inputs!$D$52</f>
        <v>1109703.65986082</v>
      </c>
      <c r="Q263" s="43" t="n">
        <f aca="false">O263</f>
        <v>1109703.65986082</v>
      </c>
      <c r="R263" s="43" t="n">
        <f aca="false">MIN(D263:O263)</f>
        <v>452742.927856707</v>
      </c>
    </row>
    <row r="264" customFormat="false" ht="15" hidden="false" customHeight="true" outlineLevel="0" collapsed="false">
      <c r="B264" s="38" t="s">
        <v>181</v>
      </c>
      <c r="D264" s="43" t="n">
        <f aca="false">$Q263+(IF($Q$6=0,0,E243*Regions!G8/$Q$6))-(IF($Q$6=0,0,E244*E242*Regions!G8/$Q$6))-((IF($Q$6=0,0,E243*Regions!G8/$Q$6))*'Five Year'!$D$48)-(Inputs!$D$50*$I$9*(1+Inputs!$D$48)^1/12+IF(Regions!G8&gt;0,(E247-Inputs!$D$50*$I$9*(1+Inputs!$D$48)^1)/COUNTIF(Regions!$G$8:$R$8,"&gt;0"),0))-E248/12-E249/12-E255/12-E257/12-(IF($Q$6=0,0,E243*Regions!G8/$Q$6))*Inputs!$D$52</f>
        <v>1038143.02870803</v>
      </c>
      <c r="E264" s="43" t="n">
        <f aca="false">D264+(IF($Q$6=0,0,E243*Regions!H8/$Q$6))-(IF($Q$6=0,0,E244*E242*Regions!H8/$Q$6))-((IF($Q$6=0,0,E243*Regions!H8/$Q$6))*'Five Year'!$D$48)-(Inputs!$D$50*$I$9*(1+Inputs!$D$48)^1/12+IF(Regions!H8&gt;0,(E247-Inputs!$D$50*$I$9*(1+Inputs!$D$48)^1)/COUNTIF(Regions!$G$8:$R$8,"&gt;0"),0))-E248/12-E249/12-E255/12-E257/12-(IF($Q$6=0,0,E243*Regions!H8/$Q$6))*Inputs!$D$52</f>
        <v>966582.397555231</v>
      </c>
      <c r="F264" s="43" t="n">
        <f aca="false">E264+(IF($Q$6=0,0,E243*Regions!I8/$Q$6))-(IF($Q$6=0,0,E244*E242*Regions!I8/$Q$6))-((IF($Q$6=0,0,E243*Regions!I8/$Q$6))*'Five Year'!$D$48)-(Inputs!$D$50*$I$9*(1+Inputs!$D$48)^1/12+IF(Regions!I8&gt;0,(E247-Inputs!$D$50*$I$9*(1+Inputs!$D$48)^1)/COUNTIF(Regions!$G$8:$R$8,"&gt;0"),0))-E248/12-E249/12-E255/12-E257/12-(IF($Q$6=0,0,E243*Regions!I8/$Q$6))*Inputs!$D$52</f>
        <v>1062962.64547953</v>
      </c>
      <c r="G264" s="43" t="n">
        <f aca="false">F264+(IF($Q$6=0,0,E243*Regions!J8/$Q$6))-(IF($Q$6=0,0,E244*E242*Regions!J8/$Q$6))-((IF($Q$6=0,0,E243*Regions!J8/$Q$6))*'Five Year'!$D$48)-(Inputs!$D$50*$I$9*(1+Inputs!$D$48)^1/12+IF(Regions!J8&gt;0,(E247-Inputs!$D$50*$I$9*(1+Inputs!$D$48)^1)/COUNTIF(Regions!$G$8:$R$8,"&gt;0"),0))-E248/12-E249/12-E255/12-E257/12-(IF($Q$6=0,0,E243*Regions!J8/$Q$6))*Inputs!$D$52</f>
        <v>1159342.89340384</v>
      </c>
      <c r="H264" s="43" t="n">
        <f aca="false">G264+(IF($Q$6=0,0,E243*Regions!K8/$Q$6))-(IF($Q$6=0,0,E244*E242*Regions!K8/$Q$6))-((IF($Q$6=0,0,E243*Regions!K8/$Q$6))*'Five Year'!$D$48)-(Inputs!$D$50*$I$9*(1+Inputs!$D$48)^1/12+IF(Regions!K8&gt;0,(E247-Inputs!$D$50*$I$9*(1+Inputs!$D$48)^1)/COUNTIF(Regions!$G$8:$R$8,"&gt;0"),0))-E248/12-E249/12-E255/12-E257/12-(IF($Q$6=0,0,E243*Regions!K8/$Q$6))*Inputs!$D$52</f>
        <v>1255723.14132814</v>
      </c>
      <c r="I264" s="43" t="n">
        <f aca="false">H264+(IF($Q$6=0,0,E243*Regions!L8/$Q$6))-(IF($Q$6=0,0,E244*E242*Regions!L8/$Q$6))-((IF($Q$6=0,0,E243*Regions!L8/$Q$6))*'Five Year'!$D$48)-(Inputs!$D$50*$I$9*(1+Inputs!$D$48)^1/12+IF(Regions!L8&gt;0,(E247-Inputs!$D$50*$I$9*(1+Inputs!$D$48)^1)/COUNTIF(Regions!$G$8:$R$8,"&gt;0"),0))-E248/12-E249/12-E255/12-E257/12-(IF($Q$6=0,0,E243*Regions!L8/$Q$6))*Inputs!$D$52</f>
        <v>1352103.38925244</v>
      </c>
      <c r="J264" s="43" t="n">
        <f aca="false">I264+(IF($Q$6=0,0,E243*Regions!M8/$Q$6))-(IF($Q$6=0,0,E244*E242*Regions!M8/$Q$6))-((IF($Q$6=0,0,E243*Regions!M8/$Q$6))*'Five Year'!$D$48)-(Inputs!$D$50*$I$9*(1+Inputs!$D$48)^1/12+IF(Regions!M8&gt;0,(E247-Inputs!$D$50*$I$9*(1+Inputs!$D$48)^1)/COUNTIF(Regions!$G$8:$R$8,"&gt;0"),0))-E248/12-E249/12-E255/12-E257/12-(IF($Q$6=0,0,E243*Regions!M8/$Q$6))*Inputs!$D$52</f>
        <v>1448483.63717674</v>
      </c>
      <c r="K264" s="43" t="n">
        <f aca="false">J264+(IF($Q$6=0,0,E243*Regions!N8/$Q$6))-(IF($Q$6=0,0,E244*E242*Regions!N8/$Q$6))-((IF($Q$6=0,0,E243*Regions!N8/$Q$6))*'Five Year'!$D$48)-(Inputs!$D$50*$I$9*(1+Inputs!$D$48)^1/12+IF(Regions!N8&gt;0,(E247-Inputs!$D$50*$I$9*(1+Inputs!$D$48)^1)/COUNTIF(Regions!$G$8:$R$8,"&gt;0"),0))-E248/12-E249/12-E255/12-E257/12-(IF($Q$6=0,0,E243*Regions!N8/$Q$6))*Inputs!$D$52</f>
        <v>1544863.88510104</v>
      </c>
      <c r="L264" s="43" t="n">
        <f aca="false">K264+(IF($Q$6=0,0,E243*Regions!O8/$Q$6))-(IF($Q$6=0,0,E244*E242*Regions!O8/$Q$6))-((IF($Q$6=0,0,E243*Regions!O8/$Q$6))*'Five Year'!$D$48)-(Inputs!$D$50*$I$9*(1+Inputs!$D$48)^1/12+IF(Regions!O8&gt;0,(E247-Inputs!$D$50*$I$9*(1+Inputs!$D$48)^1)/COUNTIF(Regions!$G$8:$R$8,"&gt;0"),0))-E248/12-E249/12-E255/12-E257/12-(IF($Q$6=0,0,E243*Regions!O8/$Q$6))*Inputs!$D$52</f>
        <v>1641244.13302535</v>
      </c>
      <c r="M264" s="43" t="n">
        <f aca="false">L264+(IF($Q$6=0,0,E243*Regions!P8/$Q$6))-(IF($Q$6=0,0,E244*E242*Regions!P8/$Q$6))-((IF($Q$6=0,0,E243*Regions!P8/$Q$6))*'Five Year'!$D$48)-(Inputs!$D$50*$I$9*(1+Inputs!$D$48)^1/12+IF(Regions!P8&gt;0,(E247-Inputs!$D$50*$I$9*(1+Inputs!$D$48)^1)/COUNTIF(Regions!$G$8:$R$8,"&gt;0"),0))-E248/12-E249/12-E255/12-E257/12-(IF($Q$6=0,0,E243*Regions!P8/$Q$6))*Inputs!$D$52</f>
        <v>1737624.38094965</v>
      </c>
      <c r="N264" s="43" t="n">
        <f aca="false">M264+(IF($Q$6=0,0,E243*Regions!Q8/$Q$6))-(IF($Q$6=0,0,E244*E242*Regions!Q8/$Q$6))-((IF($Q$6=0,0,E243*Regions!Q8/$Q$6))*'Five Year'!$D$48)-(Inputs!$D$50*$I$9*(1+Inputs!$D$48)^1/12+IF(Regions!Q8&gt;0,(E247-Inputs!$D$50*$I$9*(1+Inputs!$D$48)^1)/COUNTIF(Regions!$G$8:$R$8,"&gt;0"),0))-E248/12-E249/12-E255/12-E257/12-(IF($Q$6=0,0,E243*Regions!Q8/$Q$6))*Inputs!$D$52</f>
        <v>1834004.62887395</v>
      </c>
      <c r="O264" s="43" t="n">
        <f aca="false">N264+(IF($Q$6=0,0,E243*Regions!R8/$Q$6))-(IF($Q$6=0,0,E244*E242*Regions!R8/$Q$6))-((IF($Q$6=0,0,E243*Regions!R8/$Q$6))*'Five Year'!$D$48)-(Inputs!$D$50*$I$9*(1+Inputs!$D$48)^1/12+IF(Regions!R8&gt;0,(E247-Inputs!$D$50*$I$9*(1+Inputs!$D$48)^1)/COUNTIF(Regions!$G$8:$R$8,"&gt;0"),0))-E248/12-E249/12-E255/12-E257/12-(IF($Q$6=0,0,E243*Regions!R8/$Q$6))*Inputs!$D$52</f>
        <v>1930384.87679825</v>
      </c>
      <c r="Q264" s="43" t="n">
        <f aca="false">O264</f>
        <v>1930384.87679825</v>
      </c>
      <c r="R264" s="43" t="n">
        <f aca="false">MIN(D264:O264)</f>
        <v>966582.397555231</v>
      </c>
    </row>
    <row r="265" customFormat="false" ht="15" hidden="false" customHeight="true" outlineLevel="0" collapsed="false">
      <c r="B265" s="38" t="s">
        <v>182</v>
      </c>
      <c r="D265" s="43" t="n">
        <f aca="false">$Q264+(IF($Q$6=0,0,F243*Regions!G8/$Q$6))-(IF($Q$6=0,0,F244*F242*Regions!G8/$Q$6))-((IF($Q$6=0,0,F243*Regions!G8/$Q$6))*'Five Year'!$D$48)-(Inputs!$D$50*$I$9*(1+Inputs!$D$48)^2/12+IF(Regions!G8&gt;0,(F247-Inputs!$D$50*$I$9*(1+Inputs!$D$48)^2)/COUNTIF(Regions!$G$8:$R$8,"&gt;0"),0))-F248/12-F249/12-F255/12-F257/12-(IF($Q$6=0,0,F243*Regions!G8/$Q$6))*Inputs!$D$52</f>
        <v>1848384.64189752</v>
      </c>
      <c r="E265" s="43" t="n">
        <f aca="false">D265+(IF($Q$6=0,0,F243*Regions!H8/$Q$6))-(IF($Q$6=0,0,F244*F242*Regions!H8/$Q$6))-((IF($Q$6=0,0,F243*Regions!H8/$Q$6))*'Five Year'!$D$48)-(Inputs!$D$50*$I$9*(1+Inputs!$D$48)^2/12+IF(Regions!H8&gt;0,(F247-Inputs!$D$50*$I$9*(1+Inputs!$D$48)^2)/COUNTIF(Regions!$G$8:$R$8,"&gt;0"),0))-F248/12-F249/12-F255/12-F257/12-(IF($Q$6=0,0,F243*Regions!H8/$Q$6))*Inputs!$D$52</f>
        <v>1766384.40699679</v>
      </c>
      <c r="F265" s="43" t="n">
        <f aca="false">E265+(IF($Q$6=0,0,F243*Regions!I8/$Q$6))-(IF($Q$6=0,0,F244*F242*Regions!I8/$Q$6))-((IF($Q$6=0,0,F243*Regions!I8/$Q$6))*'Five Year'!$D$48)-(Inputs!$D$50*$I$9*(1+Inputs!$D$48)^2/12+IF(Regions!I8&gt;0,(F247-Inputs!$D$50*$I$9*(1+Inputs!$D$48)^2)/COUNTIF(Regions!$G$8:$R$8,"&gt;0"),0))-F248/12-F249/12-F255/12-F257/12-(IF($Q$6=0,0,F243*Regions!I8/$Q$6))*Inputs!$D$52</f>
        <v>1887480.85647511</v>
      </c>
      <c r="G265" s="43" t="n">
        <f aca="false">F265+(IF($Q$6=0,0,F243*Regions!J8/$Q$6))-(IF($Q$6=0,0,F244*F242*Regions!J8/$Q$6))-((IF($Q$6=0,0,F243*Regions!J8/$Q$6))*'Five Year'!$D$48)-(Inputs!$D$50*$I$9*(1+Inputs!$D$48)^2/12+IF(Regions!J8&gt;0,(F247-Inputs!$D$50*$I$9*(1+Inputs!$D$48)^2)/COUNTIF(Regions!$G$8:$R$8,"&gt;0"),0))-F248/12-F249/12-F255/12-F257/12-(IF($Q$6=0,0,F243*Regions!J8/$Q$6))*Inputs!$D$52</f>
        <v>2008577.30595344</v>
      </c>
      <c r="H265" s="43" t="n">
        <f aca="false">G265+(IF($Q$6=0,0,F243*Regions!K8/$Q$6))-(IF($Q$6=0,0,F244*F242*Regions!K8/$Q$6))-((IF($Q$6=0,0,F243*Regions!K8/$Q$6))*'Five Year'!$D$48)-(Inputs!$D$50*$I$9*(1+Inputs!$D$48)^2/12+IF(Regions!K8&gt;0,(F247-Inputs!$D$50*$I$9*(1+Inputs!$D$48)^2)/COUNTIF(Regions!$G$8:$R$8,"&gt;0"),0))-F248/12-F249/12-F255/12-F257/12-(IF($Q$6=0,0,F243*Regions!K8/$Q$6))*Inputs!$D$52</f>
        <v>2129673.75543176</v>
      </c>
      <c r="I265" s="43" t="n">
        <f aca="false">H265+(IF($Q$6=0,0,F243*Regions!L8/$Q$6))-(IF($Q$6=0,0,F244*F242*Regions!L8/$Q$6))-((IF($Q$6=0,0,F243*Regions!L8/$Q$6))*'Five Year'!$D$48)-(Inputs!$D$50*$I$9*(1+Inputs!$D$48)^2/12+IF(Regions!L8&gt;0,(F247-Inputs!$D$50*$I$9*(1+Inputs!$D$48)^2)/COUNTIF(Regions!$G$8:$R$8,"&gt;0"),0))-F248/12-F249/12-F255/12-F257/12-(IF($Q$6=0,0,F243*Regions!L8/$Q$6))*Inputs!$D$52</f>
        <v>2250770.20491008</v>
      </c>
      <c r="J265" s="43" t="n">
        <f aca="false">I265+(IF($Q$6=0,0,F243*Regions!M8/$Q$6))-(IF($Q$6=0,0,F244*F242*Regions!M8/$Q$6))-((IF($Q$6=0,0,F243*Regions!M8/$Q$6))*'Five Year'!$D$48)-(Inputs!$D$50*$I$9*(1+Inputs!$D$48)^2/12+IF(Regions!M8&gt;0,(F247-Inputs!$D$50*$I$9*(1+Inputs!$D$48)^2)/COUNTIF(Regions!$G$8:$R$8,"&gt;0"),0))-F248/12-F249/12-F255/12-F257/12-(IF($Q$6=0,0,F243*Regions!M8/$Q$6))*Inputs!$D$52</f>
        <v>2371866.65438841</v>
      </c>
      <c r="K265" s="43" t="n">
        <f aca="false">J265+(IF($Q$6=0,0,F243*Regions!N8/$Q$6))-(IF($Q$6=0,0,F244*F242*Regions!N8/$Q$6))-((IF($Q$6=0,0,F243*Regions!N8/$Q$6))*'Five Year'!$D$48)-(Inputs!$D$50*$I$9*(1+Inputs!$D$48)^2/12+IF(Regions!N8&gt;0,(F247-Inputs!$D$50*$I$9*(1+Inputs!$D$48)^2)/COUNTIF(Regions!$G$8:$R$8,"&gt;0"),0))-F248/12-F249/12-F255/12-F257/12-(IF($Q$6=0,0,F243*Regions!N8/$Q$6))*Inputs!$D$52</f>
        <v>2492963.10386673</v>
      </c>
      <c r="L265" s="43" t="n">
        <f aca="false">K265+(IF($Q$6=0,0,F243*Regions!O8/$Q$6))-(IF($Q$6=0,0,F244*F242*Regions!O8/$Q$6))-((IF($Q$6=0,0,F243*Regions!O8/$Q$6))*'Five Year'!$D$48)-(Inputs!$D$50*$I$9*(1+Inputs!$D$48)^2/12+IF(Regions!O8&gt;0,(F247-Inputs!$D$50*$I$9*(1+Inputs!$D$48)^2)/COUNTIF(Regions!$G$8:$R$8,"&gt;0"),0))-F248/12-F249/12-F255/12-F257/12-(IF($Q$6=0,0,F243*Regions!O8/$Q$6))*Inputs!$D$52</f>
        <v>2614059.55334505</v>
      </c>
      <c r="M265" s="43" t="n">
        <f aca="false">L265+(IF($Q$6=0,0,F243*Regions!P8/$Q$6))-(IF($Q$6=0,0,F244*F242*Regions!P8/$Q$6))-((IF($Q$6=0,0,F243*Regions!P8/$Q$6))*'Five Year'!$D$48)-(Inputs!$D$50*$I$9*(1+Inputs!$D$48)^2/12+IF(Regions!P8&gt;0,(F247-Inputs!$D$50*$I$9*(1+Inputs!$D$48)^2)/COUNTIF(Regions!$G$8:$R$8,"&gt;0"),0))-F248/12-F249/12-F255/12-F257/12-(IF($Q$6=0,0,F243*Regions!P8/$Q$6))*Inputs!$D$52</f>
        <v>2735156.00282338</v>
      </c>
      <c r="N265" s="43" t="n">
        <f aca="false">M265+(IF($Q$6=0,0,F243*Regions!Q8/$Q$6))-(IF($Q$6=0,0,F244*F242*Regions!Q8/$Q$6))-((IF($Q$6=0,0,F243*Regions!Q8/$Q$6))*'Five Year'!$D$48)-(Inputs!$D$50*$I$9*(1+Inputs!$D$48)^2/12+IF(Regions!Q8&gt;0,(F247-Inputs!$D$50*$I$9*(1+Inputs!$D$48)^2)/COUNTIF(Regions!$G$8:$R$8,"&gt;0"),0))-F248/12-F249/12-F255/12-F257/12-(IF($Q$6=0,0,F243*Regions!Q8/$Q$6))*Inputs!$D$52</f>
        <v>2856252.4523017</v>
      </c>
      <c r="O265" s="43" t="n">
        <f aca="false">N265+(IF($Q$6=0,0,F243*Regions!R8/$Q$6))-(IF($Q$6=0,0,F244*F242*Regions!R8/$Q$6))-((IF($Q$6=0,0,F243*Regions!R8/$Q$6))*'Five Year'!$D$48)-(Inputs!$D$50*$I$9*(1+Inputs!$D$48)^2/12+IF(Regions!R8&gt;0,(F247-Inputs!$D$50*$I$9*(1+Inputs!$D$48)^2)/COUNTIF(Regions!$G$8:$R$8,"&gt;0"),0))-F248/12-F249/12-F255/12-F257/12-(IF($Q$6=0,0,F243*Regions!R8/$Q$6))*Inputs!$D$52</f>
        <v>2977348.90178002</v>
      </c>
      <c r="Q265" s="43" t="n">
        <f aca="false">O265</f>
        <v>2977348.90178002</v>
      </c>
      <c r="R265" s="43" t="n">
        <f aca="false">MIN(D265:O265)</f>
        <v>1766384.40699679</v>
      </c>
    </row>
    <row r="266" customFormat="false" ht="15" hidden="false" customHeight="true" outlineLevel="0" collapsed="false">
      <c r="B266" s="38" t="s">
        <v>183</v>
      </c>
      <c r="D266" s="43" t="n">
        <f aca="false">$Q265+(IF($Q$6=0,0,G243*Regions!G8/$Q$6))-(IF($Q$6=0,0,G244*G242*Regions!G8/$Q$6))-((IF($Q$6=0,0,G243*Regions!G8/$Q$6))*'Five Year'!$D$48)-(Inputs!$D$50*$I$9*(1+Inputs!$D$48)^3/12+IF(Regions!G8&gt;0,(G247-Inputs!$D$50*$I$9*(1+Inputs!$D$48)^3)/COUNTIF(Regions!$G$8:$R$8,"&gt;0"),0))-G248/12-G249/12-G255/12-G257/12-(IF($Q$6=0,0,G243*Regions!G8/$Q$6))*Inputs!$D$52</f>
        <v>2886127.76692898</v>
      </c>
      <c r="E266" s="43" t="n">
        <f aca="false">D266+(IF($Q$6=0,0,G243*Regions!H8/$Q$6))-(IF($Q$6=0,0,G244*G242*Regions!H8/$Q$6))-((IF($Q$6=0,0,G243*Regions!H8/$Q$6))*'Five Year'!$D$48)-(Inputs!$D$50*$I$9*(1+Inputs!$D$48)^3/12+IF(Regions!H8&gt;0,(G247-Inputs!$D$50*$I$9*(1+Inputs!$D$48)^3)/COUNTIF(Regions!$G$8:$R$8,"&gt;0"),0))-G248/12-G249/12-G255/12-G257/12-(IF($Q$6=0,0,G243*Regions!H8/$Q$6))*Inputs!$D$52</f>
        <v>2794906.63207794</v>
      </c>
      <c r="F266" s="43" t="n">
        <f aca="false">E266+(IF($Q$6=0,0,G243*Regions!I8/$Q$6))-(IF($Q$6=0,0,G244*G242*Regions!I8/$Q$6))-((IF($Q$6=0,0,G243*Regions!I8/$Q$6))*'Five Year'!$D$48)-(Inputs!$D$50*$I$9*(1+Inputs!$D$48)^3/12+IF(Regions!I8&gt;0,(G247-Inputs!$D$50*$I$9*(1+Inputs!$D$48)^3)/COUNTIF(Regions!$G$8:$R$8,"&gt;0"),0))-G248/12-G249/12-G255/12-G257/12-(IF($Q$6=0,0,G243*Regions!I8/$Q$6))*Inputs!$D$52</f>
        <v>2938344.29789068</v>
      </c>
      <c r="G266" s="43" t="n">
        <f aca="false">F266+(IF($Q$6=0,0,G243*Regions!J8/$Q$6))-(IF($Q$6=0,0,G244*G242*Regions!J8/$Q$6))-((IF($Q$6=0,0,G243*Regions!J8/$Q$6))*'Five Year'!$D$48)-(Inputs!$D$50*$I$9*(1+Inputs!$D$48)^3/12+IF(Regions!J8&gt;0,(G247-Inputs!$D$50*$I$9*(1+Inputs!$D$48)^3)/COUNTIF(Regions!$G$8:$R$8,"&gt;0"),0))-G248/12-G249/12-G255/12-G257/12-(IF($Q$6=0,0,G243*Regions!J8/$Q$6))*Inputs!$D$52</f>
        <v>3081781.96370342</v>
      </c>
      <c r="H266" s="43" t="n">
        <f aca="false">G266+(IF($Q$6=0,0,G243*Regions!K8/$Q$6))-(IF($Q$6=0,0,G244*G242*Regions!K8/$Q$6))-((IF($Q$6=0,0,G243*Regions!K8/$Q$6))*'Five Year'!$D$48)-(Inputs!$D$50*$I$9*(1+Inputs!$D$48)^3/12+IF(Regions!K8&gt;0,(G247-Inputs!$D$50*$I$9*(1+Inputs!$D$48)^3)/COUNTIF(Regions!$G$8:$R$8,"&gt;0"),0))-G248/12-G249/12-G255/12-G257/12-(IF($Q$6=0,0,G243*Regions!K8/$Q$6))*Inputs!$D$52</f>
        <v>3225219.62951616</v>
      </c>
      <c r="I266" s="43" t="n">
        <f aca="false">H266+(IF($Q$6=0,0,G243*Regions!L8/$Q$6))-(IF($Q$6=0,0,G244*G242*Regions!L8/$Q$6))-((IF($Q$6=0,0,G243*Regions!L8/$Q$6))*'Five Year'!$D$48)-(Inputs!$D$50*$I$9*(1+Inputs!$D$48)^3/12+IF(Regions!L8&gt;0,(G247-Inputs!$D$50*$I$9*(1+Inputs!$D$48)^3)/COUNTIF(Regions!$G$8:$R$8,"&gt;0"),0))-G248/12-G249/12-G255/12-G257/12-(IF($Q$6=0,0,G243*Regions!L8/$Q$6))*Inputs!$D$52</f>
        <v>3368657.2953289</v>
      </c>
      <c r="J266" s="43" t="n">
        <f aca="false">I266+(IF($Q$6=0,0,G243*Regions!M8/$Q$6))-(IF($Q$6=0,0,G244*G242*Regions!M8/$Q$6))-((IF($Q$6=0,0,G243*Regions!M8/$Q$6))*'Five Year'!$D$48)-(Inputs!$D$50*$I$9*(1+Inputs!$D$48)^3/12+IF(Regions!M8&gt;0,(G247-Inputs!$D$50*$I$9*(1+Inputs!$D$48)^3)/COUNTIF(Regions!$G$8:$R$8,"&gt;0"),0))-G248/12-G249/12-G255/12-G257/12-(IF($Q$6=0,0,G243*Regions!M8/$Q$6))*Inputs!$D$52</f>
        <v>3512094.96114164</v>
      </c>
      <c r="K266" s="43" t="n">
        <f aca="false">J266+(IF($Q$6=0,0,G243*Regions!N8/$Q$6))-(IF($Q$6=0,0,G244*G242*Regions!N8/$Q$6))-((IF($Q$6=0,0,G243*Regions!N8/$Q$6))*'Five Year'!$D$48)-(Inputs!$D$50*$I$9*(1+Inputs!$D$48)^3/12+IF(Regions!N8&gt;0,(G247-Inputs!$D$50*$I$9*(1+Inputs!$D$48)^3)/COUNTIF(Regions!$G$8:$R$8,"&gt;0"),0))-G248/12-G249/12-G255/12-G257/12-(IF($Q$6=0,0,G243*Regions!N8/$Q$6))*Inputs!$D$52</f>
        <v>3655532.62695438</v>
      </c>
      <c r="L266" s="43" t="n">
        <f aca="false">K266+(IF($Q$6=0,0,G243*Regions!O8/$Q$6))-(IF($Q$6=0,0,G244*G242*Regions!O8/$Q$6))-((IF($Q$6=0,0,G243*Regions!O8/$Q$6))*'Five Year'!$D$48)-(Inputs!$D$50*$I$9*(1+Inputs!$D$48)^3/12+IF(Regions!O8&gt;0,(G247-Inputs!$D$50*$I$9*(1+Inputs!$D$48)^3)/COUNTIF(Regions!$G$8:$R$8,"&gt;0"),0))-G248/12-G249/12-G255/12-G257/12-(IF($Q$6=0,0,G243*Regions!O8/$Q$6))*Inputs!$D$52</f>
        <v>3798970.29276712</v>
      </c>
      <c r="M266" s="43" t="n">
        <f aca="false">L266+(IF($Q$6=0,0,G243*Regions!P8/$Q$6))-(IF($Q$6=0,0,G244*G242*Regions!P8/$Q$6))-((IF($Q$6=0,0,G243*Regions!P8/$Q$6))*'Five Year'!$D$48)-(Inputs!$D$50*$I$9*(1+Inputs!$D$48)^3/12+IF(Regions!P8&gt;0,(G247-Inputs!$D$50*$I$9*(1+Inputs!$D$48)^3)/COUNTIF(Regions!$G$8:$R$8,"&gt;0"),0))-G248/12-G249/12-G255/12-G257/12-(IF($Q$6=0,0,G243*Regions!P8/$Q$6))*Inputs!$D$52</f>
        <v>3942407.95857985</v>
      </c>
      <c r="N266" s="43" t="n">
        <f aca="false">M266+(IF($Q$6=0,0,G243*Regions!Q8/$Q$6))-(IF($Q$6=0,0,G244*G242*Regions!Q8/$Q$6))-((IF($Q$6=0,0,G243*Regions!Q8/$Q$6))*'Five Year'!$D$48)-(Inputs!$D$50*$I$9*(1+Inputs!$D$48)^3/12+IF(Regions!Q8&gt;0,(G247-Inputs!$D$50*$I$9*(1+Inputs!$D$48)^3)/COUNTIF(Regions!$G$8:$R$8,"&gt;0"),0))-G248/12-G249/12-G255/12-G257/12-(IF($Q$6=0,0,G243*Regions!Q8/$Q$6))*Inputs!$D$52</f>
        <v>4085845.62439259</v>
      </c>
      <c r="O266" s="43" t="n">
        <f aca="false">N266+(IF($Q$6=0,0,G243*Regions!R8/$Q$6))-(IF($Q$6=0,0,G244*G242*Regions!R8/$Q$6))-((IF($Q$6=0,0,G243*Regions!R8/$Q$6))*'Five Year'!$D$48)-(Inputs!$D$50*$I$9*(1+Inputs!$D$48)^3/12+IF(Regions!R8&gt;0,(G247-Inputs!$D$50*$I$9*(1+Inputs!$D$48)^3)/COUNTIF(Regions!$G$8:$R$8,"&gt;0"),0))-G248/12-G249/12-G255/12-G257/12-(IF($Q$6=0,0,G243*Regions!R8/$Q$6))*Inputs!$D$52</f>
        <v>4229283.29020533</v>
      </c>
      <c r="Q266" s="43" t="n">
        <f aca="false">O266</f>
        <v>4229283.29020533</v>
      </c>
      <c r="R266" s="43" t="n">
        <f aca="false">MIN(D266:O266)</f>
        <v>2794906.63207794</v>
      </c>
    </row>
    <row r="267" customFormat="false" ht="15" hidden="false" customHeight="true" outlineLevel="0" collapsed="false">
      <c r="B267" s="38" t="s">
        <v>184</v>
      </c>
      <c r="D267" s="43" t="n">
        <f aca="false">$Q266+(IF($Q$6=0,0,H243*Regions!G8/$Q$6))-(IF($Q$6=0,0,H244*H242*Regions!G8/$Q$6))-((IF($Q$6=0,0,H243*Regions!G8/$Q$6))*'Five Year'!$D$48)-(Inputs!$D$50*$I$9*(1+Inputs!$D$48)^4/12+IF(Regions!G8&gt;0,(H247-Inputs!$D$50*$I$9*(1+Inputs!$D$48)^4)/COUNTIF(Regions!$G$8:$R$8,"&gt;0"),0))-H248/12-H249/12-H255/12-H257/12-(IF($Q$6=0,0,H243*Regions!G8/$Q$6))*Inputs!$D$52</f>
        <v>4127506.88945082</v>
      </c>
      <c r="E267" s="43" t="n">
        <f aca="false">D267+(IF($Q$6=0,0,H243*Regions!H8/$Q$6))-(IF($Q$6=0,0,H244*H242*Regions!H8/$Q$6))-((IF($Q$6=0,0,H243*Regions!H8/$Q$6))*'Five Year'!$D$48)-(Inputs!$D$50*$I$9*(1+Inputs!$D$48)^4/12+IF(Regions!H8&gt;0,(H247-Inputs!$D$50*$I$9*(1+Inputs!$D$48)^4)/COUNTIF(Regions!$G$8:$R$8,"&gt;0"),0))-H248/12-H249/12-H255/12-H257/12-(IF($Q$6=0,0,H243*Regions!H8/$Q$6))*Inputs!$D$52</f>
        <v>4025730.4886963</v>
      </c>
      <c r="F267" s="43" t="n">
        <f aca="false">E267+(IF($Q$6=0,0,H243*Regions!I8/$Q$6))-(IF($Q$6=0,0,H244*H242*Regions!I8/$Q$6))-((IF($Q$6=0,0,H243*Regions!I8/$Q$6))*'Five Year'!$D$48)-(Inputs!$D$50*$I$9*(1+Inputs!$D$48)^4/12+IF(Regions!I8&gt;0,(H247-Inputs!$D$50*$I$9*(1+Inputs!$D$48)^4)/COUNTIF(Regions!$G$8:$R$8,"&gt;0"),0))-H248/12-H249/12-H255/12-H257/12-(IF($Q$6=0,0,H243*Regions!I8/$Q$6))*Inputs!$D$52</f>
        <v>4193406.0410107</v>
      </c>
      <c r="G267" s="43" t="n">
        <f aca="false">F267+(IF($Q$6=0,0,H243*Regions!J8/$Q$6))-(IF($Q$6=0,0,H244*H242*Regions!J8/$Q$6))-((IF($Q$6=0,0,H243*Regions!J8/$Q$6))*'Five Year'!$D$48)-(Inputs!$D$50*$I$9*(1+Inputs!$D$48)^4/12+IF(Regions!J8&gt;0,(H247-Inputs!$D$50*$I$9*(1+Inputs!$D$48)^4)/COUNTIF(Regions!$G$8:$R$8,"&gt;0"),0))-H248/12-H249/12-H255/12-H257/12-(IF($Q$6=0,0,H243*Regions!J8/$Q$6))*Inputs!$D$52</f>
        <v>4361081.59332509</v>
      </c>
      <c r="H267" s="43" t="n">
        <f aca="false">G267+(IF($Q$6=0,0,H243*Regions!K8/$Q$6))-(IF($Q$6=0,0,H244*H242*Regions!K8/$Q$6))-((IF($Q$6=0,0,H243*Regions!K8/$Q$6))*'Five Year'!$D$48)-(Inputs!$D$50*$I$9*(1+Inputs!$D$48)^4/12+IF(Regions!K8&gt;0,(H247-Inputs!$D$50*$I$9*(1+Inputs!$D$48)^4)/COUNTIF(Regions!$G$8:$R$8,"&gt;0"),0))-H248/12-H249/12-H255/12-H257/12-(IF($Q$6=0,0,H243*Regions!K8/$Q$6))*Inputs!$D$52</f>
        <v>4528757.14563949</v>
      </c>
      <c r="I267" s="43" t="n">
        <f aca="false">H267+(IF($Q$6=0,0,H243*Regions!L8/$Q$6))-(IF($Q$6=0,0,H244*H242*Regions!L8/$Q$6))-((IF($Q$6=0,0,H243*Regions!L8/$Q$6))*'Five Year'!$D$48)-(Inputs!$D$50*$I$9*(1+Inputs!$D$48)^4/12+IF(Regions!L8&gt;0,(H247-Inputs!$D$50*$I$9*(1+Inputs!$D$48)^4)/COUNTIF(Regions!$G$8:$R$8,"&gt;0"),0))-H248/12-H249/12-H255/12-H257/12-(IF($Q$6=0,0,H243*Regions!L8/$Q$6))*Inputs!$D$52</f>
        <v>4696432.69795388</v>
      </c>
      <c r="J267" s="43" t="n">
        <f aca="false">I267+(IF($Q$6=0,0,H243*Regions!M8/$Q$6))-(IF($Q$6=0,0,H244*H242*Regions!M8/$Q$6))-((IF($Q$6=0,0,H243*Regions!M8/$Q$6))*'Five Year'!$D$48)-(Inputs!$D$50*$I$9*(1+Inputs!$D$48)^4/12+IF(Regions!M8&gt;0,(H247-Inputs!$D$50*$I$9*(1+Inputs!$D$48)^4)/COUNTIF(Regions!$G$8:$R$8,"&gt;0"),0))-H248/12-H249/12-H255/12-H257/12-(IF($Q$6=0,0,H243*Regions!M8/$Q$6))*Inputs!$D$52</f>
        <v>4864108.25026828</v>
      </c>
      <c r="K267" s="43" t="n">
        <f aca="false">J267+(IF($Q$6=0,0,H243*Regions!N8/$Q$6))-(IF($Q$6=0,0,H244*H242*Regions!N8/$Q$6))-((IF($Q$6=0,0,H243*Regions!N8/$Q$6))*'Five Year'!$D$48)-(Inputs!$D$50*$I$9*(1+Inputs!$D$48)^4/12+IF(Regions!N8&gt;0,(H247-Inputs!$D$50*$I$9*(1+Inputs!$D$48)^4)/COUNTIF(Regions!$G$8:$R$8,"&gt;0"),0))-H248/12-H249/12-H255/12-H257/12-(IF($Q$6=0,0,H243*Regions!N8/$Q$6))*Inputs!$D$52</f>
        <v>5031783.80258267</v>
      </c>
      <c r="L267" s="43" t="n">
        <f aca="false">K267+(IF($Q$6=0,0,H243*Regions!O8/$Q$6))-(IF($Q$6=0,0,H244*H242*Regions!O8/$Q$6))-((IF($Q$6=0,0,H243*Regions!O8/$Q$6))*'Five Year'!$D$48)-(Inputs!$D$50*$I$9*(1+Inputs!$D$48)^4/12+IF(Regions!O8&gt;0,(H247-Inputs!$D$50*$I$9*(1+Inputs!$D$48)^4)/COUNTIF(Regions!$G$8:$R$8,"&gt;0"),0))-H248/12-H249/12-H255/12-H257/12-(IF($Q$6=0,0,H243*Regions!O8/$Q$6))*Inputs!$D$52</f>
        <v>5199459.35489707</v>
      </c>
      <c r="M267" s="43" t="n">
        <f aca="false">L267+(IF($Q$6=0,0,H243*Regions!P8/$Q$6))-(IF($Q$6=0,0,H244*H242*Regions!P8/$Q$6))-((IF($Q$6=0,0,H243*Regions!P8/$Q$6))*'Five Year'!$D$48)-(Inputs!$D$50*$I$9*(1+Inputs!$D$48)^4/12+IF(Regions!P8&gt;0,(H247-Inputs!$D$50*$I$9*(1+Inputs!$D$48)^4)/COUNTIF(Regions!$G$8:$R$8,"&gt;0"),0))-H248/12-H249/12-H255/12-H257/12-(IF($Q$6=0,0,H243*Regions!P8/$Q$6))*Inputs!$D$52</f>
        <v>5367134.90721146</v>
      </c>
      <c r="N267" s="43" t="n">
        <f aca="false">M267+(IF($Q$6=0,0,H243*Regions!Q8/$Q$6))-(IF($Q$6=0,0,H244*H242*Regions!Q8/$Q$6))-((IF($Q$6=0,0,H243*Regions!Q8/$Q$6))*'Five Year'!$D$48)-(Inputs!$D$50*$I$9*(1+Inputs!$D$48)^4/12+IF(Regions!Q8&gt;0,(H247-Inputs!$D$50*$I$9*(1+Inputs!$D$48)^4)/COUNTIF(Regions!$G$8:$R$8,"&gt;0"),0))-H248/12-H249/12-H255/12-H257/12-(IF($Q$6=0,0,H243*Regions!Q8/$Q$6))*Inputs!$D$52</f>
        <v>5534810.45952586</v>
      </c>
      <c r="O267" s="43" t="n">
        <f aca="false">N267+(IF($Q$6=0,0,H243*Regions!R8/$Q$6))-(IF($Q$6=0,0,H244*H242*Regions!R8/$Q$6))-((IF($Q$6=0,0,H243*Regions!R8/$Q$6))*'Five Year'!$D$48)-(Inputs!$D$50*$I$9*(1+Inputs!$D$48)^4/12+IF(Regions!R8&gt;0,(H247-Inputs!$D$50*$I$9*(1+Inputs!$D$48)^4)/COUNTIF(Regions!$G$8:$R$8,"&gt;0"),0))-H248/12-H249/12-H255/12-H257/12-(IF($Q$6=0,0,H243*Regions!R8/$Q$6))*Inputs!$D$52</f>
        <v>5702486.01184025</v>
      </c>
      <c r="Q267" s="43" t="n">
        <f aca="false">O267</f>
        <v>5702486.01184025</v>
      </c>
      <c r="R267" s="43" t="n">
        <f aca="false">MIN(D267:O267)</f>
        <v>4025730.4886963</v>
      </c>
    </row>
    <row r="268" customFormat="false" ht="15" hidden="false" customHeight="true" outlineLevel="0" collapsed="false">
      <c r="B268" s="37" t="s">
        <v>185</v>
      </c>
      <c r="D268" s="43" t="n">
        <f aca="false">MIN(R263:R267)</f>
        <v>452742.927856707</v>
      </c>
    </row>
    <row r="280" customFormat="false" ht="15" hidden="false" customHeight="true" outlineLevel="0" collapsed="false">
      <c r="B280" s="55" t="s">
        <v>191</v>
      </c>
    </row>
    <row r="281" customFormat="false" ht="15" hidden="false" customHeight="true" outlineLevel="0" collapsed="false">
      <c r="D281" s="37" t="s">
        <v>99</v>
      </c>
      <c r="E281" s="37" t="s">
        <v>100</v>
      </c>
      <c r="F281" s="37" t="s">
        <v>101</v>
      </c>
      <c r="G281" s="37" t="s">
        <v>102</v>
      </c>
      <c r="H281" s="37" t="s">
        <v>103</v>
      </c>
    </row>
    <row r="282" customFormat="false" ht="15" hidden="false" customHeight="true" outlineLevel="0" collapsed="false">
      <c r="B282" s="38" t="s">
        <v>104</v>
      </c>
      <c r="D282" s="42" t="n">
        <f aca="false">MAX(0,'Five Year'!D$50-$J$6)</f>
        <v>0.3</v>
      </c>
      <c r="E282" s="42" t="n">
        <f aca="false">MAX(0,'Five Year'!E$50-$J$6)</f>
        <v>0.38</v>
      </c>
      <c r="F282" s="42" t="n">
        <f aca="false">MAX(0,'Five Year'!F$50-$J$6)</f>
        <v>0.45</v>
      </c>
      <c r="G282" s="42" t="n">
        <f aca="false">MAX(0,'Five Year'!G$50-$J$6)</f>
        <v>0.5</v>
      </c>
      <c r="H282" s="42" t="n">
        <f aca="false">MAX(0,'Five Year'!H$50-$J$6)</f>
        <v>0.55</v>
      </c>
    </row>
    <row r="283" customFormat="false" ht="15" hidden="false" customHeight="true" outlineLevel="0" collapsed="false">
      <c r="B283" s="38" t="s">
        <v>106</v>
      </c>
      <c r="D283" s="43" t="n">
        <f aca="false">'Five Year'!$D$49*$J$7*(1+Inputs!$D$49)^0</f>
        <v>5850</v>
      </c>
      <c r="E283" s="43" t="n">
        <f aca="false">'Five Year'!$D$49*$J$7*(1+Inputs!$D$49)^1</f>
        <v>6201</v>
      </c>
      <c r="F283" s="43" t="n">
        <f aca="false">'Five Year'!$D$49*$J$7*(1+Inputs!$D$49)^2</f>
        <v>6573.06</v>
      </c>
      <c r="G283" s="43" t="n">
        <f aca="false">'Five Year'!$D$49*$J$7*(1+Inputs!$D$49)^3</f>
        <v>6967.4436</v>
      </c>
      <c r="H283" s="43" t="n">
        <f aca="false">'Five Year'!$D$49*$J$7*(1+Inputs!$D$49)^4</f>
        <v>7385.490216</v>
      </c>
    </row>
    <row r="284" customFormat="false" ht="15" hidden="false" customHeight="true" outlineLevel="0" collapsed="false">
      <c r="B284" s="38" t="s">
        <v>107</v>
      </c>
      <c r="D284" s="44" t="n">
        <f aca="false">Inputs!$D$16*D282</f>
        <v>240</v>
      </c>
      <c r="E284" s="44" t="n">
        <f aca="false">Inputs!$D$16*E282</f>
        <v>304</v>
      </c>
      <c r="F284" s="44" t="n">
        <f aca="false">Inputs!$D$16*F282</f>
        <v>360</v>
      </c>
      <c r="G284" s="44" t="n">
        <f aca="false">Inputs!$D$16*G282</f>
        <v>400</v>
      </c>
      <c r="H284" s="44" t="n">
        <f aca="false">Inputs!$D$16*H282</f>
        <v>440</v>
      </c>
    </row>
    <row r="285" customFormat="false" ht="15" hidden="false" customHeight="true" outlineLevel="0" collapsed="false">
      <c r="B285" s="38" t="s">
        <v>108</v>
      </c>
      <c r="D285" s="43" t="n">
        <f aca="false">D284*D283</f>
        <v>1404000</v>
      </c>
      <c r="E285" s="43" t="n">
        <f aca="false">E284*E283</f>
        <v>1885104</v>
      </c>
      <c r="F285" s="43" t="n">
        <f aca="false">F284*F283</f>
        <v>2366301.6</v>
      </c>
      <c r="G285" s="43" t="n">
        <f aca="false">G284*G283</f>
        <v>2786977.44</v>
      </c>
      <c r="H285" s="43" t="n">
        <f aca="false">H284*H283</f>
        <v>3249615.69504</v>
      </c>
    </row>
    <row r="286" customFormat="false" ht="15" hidden="false" customHeight="true" outlineLevel="0" collapsed="false">
      <c r="B286" s="38" t="s">
        <v>109</v>
      </c>
      <c r="D286" s="45" t="n">
        <f aca="false">((Inputs!$E$41*'Five Year'!$D$46*$J$10/Capital!$J$6)*(1+Inputs!$D$47)^0+Inputs!$E$42*'Five Year'!$D$46*(1+Inputs!$D$48)^0)*$J$8</f>
        <v>1463.93296044317</v>
      </c>
      <c r="E286" s="45" t="n">
        <f aca="false">((Inputs!$E$41*'Five Year'!$D$46*$J$10/Capital!$J$6)*(1+Inputs!$D$47)^1+Inputs!$E$42*'Five Year'!$D$46*(1+Inputs!$D$48)^1)*$J$8</f>
        <v>1527.01893806976</v>
      </c>
      <c r="F286" s="45" t="n">
        <f aca="false">((Inputs!$E$41*'Five Year'!$D$46*$J$10/Capital!$J$6)*(1+Inputs!$D$47)^2+Inputs!$E$42*'Five Year'!$D$46*(1+Inputs!$D$48)^2)*$J$8</f>
        <v>1593.14757435394</v>
      </c>
      <c r="G286" s="45" t="n">
        <f aca="false">((Inputs!$E$41*'Five Year'!$D$46*$J$10/Capital!$J$6)*(1+Inputs!$D$47)^3+Inputs!$E$42*'Five Year'!$D$46*(1+Inputs!$D$48)^3)*$J$8</f>
        <v>1662.47915381518</v>
      </c>
      <c r="H286" s="45" t="n">
        <f aca="false">((Inputs!$E$41*'Five Year'!$D$46*$J$10/Capital!$J$6)*(1+Inputs!$D$47)^4+Inputs!$E$42*'Five Year'!$D$46*(1+Inputs!$D$48)^4)*$J$8</f>
        <v>1735.18290979409</v>
      </c>
    </row>
    <row r="287" customFormat="false" ht="15" hidden="false" customHeight="true" outlineLevel="0" collapsed="false">
      <c r="B287" s="38" t="s">
        <v>110</v>
      </c>
      <c r="D287" s="43" t="n">
        <f aca="false">D286*D284</f>
        <v>351343.91050636</v>
      </c>
      <c r="E287" s="43" t="n">
        <f aca="false">E286*E284</f>
        <v>464213.757173206</v>
      </c>
      <c r="F287" s="43" t="n">
        <f aca="false">F286*F284</f>
        <v>573533.126767419</v>
      </c>
      <c r="G287" s="43" t="n">
        <f aca="false">G286*G284</f>
        <v>664991.661526071</v>
      </c>
      <c r="H287" s="43" t="n">
        <f aca="false">H286*H284</f>
        <v>763480.480309399</v>
      </c>
    </row>
    <row r="288" customFormat="false" ht="15" hidden="false" customHeight="true" outlineLevel="0" collapsed="false">
      <c r="B288" s="38" t="s">
        <v>111</v>
      </c>
      <c r="D288" s="43" t="n">
        <f aca="false">D285*'Five Year'!$D$48</f>
        <v>168480</v>
      </c>
      <c r="E288" s="43" t="n">
        <f aca="false">E285*'Five Year'!$D$48</f>
        <v>226212.48</v>
      </c>
      <c r="F288" s="43" t="n">
        <f aca="false">F285*'Five Year'!$D$48</f>
        <v>283956.192</v>
      </c>
      <c r="G288" s="43" t="n">
        <f aca="false">G285*'Five Year'!$D$48</f>
        <v>334437.2928</v>
      </c>
      <c r="H288" s="43" t="n">
        <f aca="false">H285*'Five Year'!$D$48</f>
        <v>389953.8834048</v>
      </c>
    </row>
    <row r="289" customFormat="false" ht="15" hidden="false" customHeight="true" outlineLevel="0" collapsed="false">
      <c r="B289" s="38" t="s">
        <v>112</v>
      </c>
      <c r="D289" s="43" t="n">
        <f aca="false">MAX(Inputs!$D$50*$J$9*(1+Inputs!$D$48)^0,Inputs!$D$51*D285)</f>
        <v>112320</v>
      </c>
      <c r="E289" s="43" t="n">
        <f aca="false">MAX(Inputs!$D$50*$J$9*(1+Inputs!$D$48)^1,Inputs!$D$51*E285)</f>
        <v>150808.32</v>
      </c>
      <c r="F289" s="43" t="n">
        <f aca="false">MAX(Inputs!$D$50*$J$9*(1+Inputs!$D$48)^2,Inputs!$D$51*F285)</f>
        <v>189304.128</v>
      </c>
      <c r="G289" s="43" t="n">
        <f aca="false">MAX(Inputs!$D$50*$J$9*(1+Inputs!$D$48)^3,Inputs!$D$51*G285)</f>
        <v>222958.1952</v>
      </c>
      <c r="H289" s="43" t="n">
        <f aca="false">MAX(Inputs!$D$50*$J$9*(1+Inputs!$D$48)^4,Inputs!$D$51*H285)</f>
        <v>259969.2556032</v>
      </c>
    </row>
    <row r="290" customFormat="false" ht="15" hidden="false" customHeight="true" outlineLevel="0" collapsed="false">
      <c r="B290" s="38" t="s">
        <v>113</v>
      </c>
      <c r="D290" s="43" t="n">
        <f aca="false">((Inputs!$E$28*'Five Year'!$D$47*$J$10/Capital!$J$6)*(1+Inputs!$D$47)^0+Inputs!$E$29*'Five Year'!$D$47*(1+Inputs!$D$48)^0)*$J$8</f>
        <v>593841.154166779</v>
      </c>
      <c r="E290" s="43" t="n">
        <f aca="false">((Inputs!$E$28*'Five Year'!$D$47*$J$10/Capital!$J$6)*(1+Inputs!$D$47)^1+Inputs!$E$29*'Five Year'!$D$47*(1+Inputs!$D$48)^1)*$J$8</f>
        <v>628481.623416786</v>
      </c>
      <c r="F290" s="43" t="n">
        <f aca="false">((Inputs!$E$28*'Five Year'!$D$47*$J$10/Capital!$J$6)*(1+Inputs!$D$47)^2+Inputs!$E$29*'Five Year'!$D$47*(1+Inputs!$D$48)^2)*$J$8</f>
        <v>665170.820821793</v>
      </c>
      <c r="G290" s="43" t="n">
        <f aca="false">((Inputs!$E$28*'Five Year'!$D$47*$J$10/Capital!$J$6)*(1+Inputs!$D$47)^3+Inputs!$E$29*'Five Year'!$D$47*(1+Inputs!$D$48)^3)*$J$8</f>
        <v>704030.7790711</v>
      </c>
      <c r="H290" s="43" t="n">
        <f aca="false">((Inputs!$E$28*'Five Year'!$D$47*$J$10/Capital!$J$6)*(1+Inputs!$D$47)^4+Inputs!$E$29*'Five Year'!$D$47*(1+Inputs!$D$48)^4)*$J$8</f>
        <v>745190.826085366</v>
      </c>
    </row>
    <row r="291" customFormat="false" ht="15" hidden="false" customHeight="true" outlineLevel="0" collapsed="false">
      <c r="B291" s="38" t="s">
        <v>114</v>
      </c>
      <c r="D291" s="43" t="n">
        <f aca="false">Inputs!$E$30*'Five Year'!$D$47*(1+Inputs!$D$48)^0*$J$8</f>
        <v>66000</v>
      </c>
      <c r="E291" s="43" t="n">
        <f aca="false">Inputs!$E$30*'Five Year'!$D$47*(1+Inputs!$D$48)^1*$J$8</f>
        <v>67980</v>
      </c>
      <c r="F291" s="43" t="n">
        <f aca="false">Inputs!$E$30*'Five Year'!$D$47*(1+Inputs!$D$48)^2*$J$8</f>
        <v>70019.4</v>
      </c>
      <c r="G291" s="43" t="n">
        <f aca="false">Inputs!$E$30*'Five Year'!$D$47*(1+Inputs!$D$48)^3*$J$8</f>
        <v>72119.982</v>
      </c>
      <c r="H291" s="43" t="n">
        <f aca="false">Inputs!$E$30*'Five Year'!$D$47*(1+Inputs!$D$48)^4*$J$8</f>
        <v>74283.58146</v>
      </c>
    </row>
    <row r="292" customFormat="false" ht="15" hidden="false" customHeight="true" outlineLevel="0" collapsed="false">
      <c r="B292" s="37" t="s">
        <v>115</v>
      </c>
      <c r="D292" s="43" t="n">
        <f aca="false">D285-D287-D288-D289-D290-D291</f>
        <v>112014.935326862</v>
      </c>
      <c r="E292" s="43" t="n">
        <f aca="false">E285-E287-E288-E289-E290-E291</f>
        <v>347407.819410009</v>
      </c>
      <c r="F292" s="43" t="n">
        <f aca="false">F285-F287-F288-F289-F290-F291</f>
        <v>584317.932410789</v>
      </c>
      <c r="G292" s="43" t="n">
        <f aca="false">G285-G287-G288-G289-G290-G291</f>
        <v>788439.52940283</v>
      </c>
      <c r="H292" s="43" t="n">
        <f aca="false">H285-H287-H288-H289-H290-H291</f>
        <v>1016737.66817724</v>
      </c>
    </row>
    <row r="293" customFormat="false" ht="15" hidden="false" customHeight="true" outlineLevel="0" collapsed="false">
      <c r="B293" s="38" t="s">
        <v>116</v>
      </c>
      <c r="D293" s="46" t="n">
        <f aca="false">IF(D285=0,0,D292/D285)</f>
        <v>0.0797827174692748</v>
      </c>
      <c r="E293" s="46" t="n">
        <f aca="false">IF(E285=0,0,E292/E285)</f>
        <v>0.18429106267347</v>
      </c>
      <c r="F293" s="46" t="n">
        <f aca="false">IF(F285=0,0,F292/F285)</f>
        <v>0.246932991302034</v>
      </c>
      <c r="G293" s="46" t="n">
        <f aca="false">IF(G285=0,0,G292/G285)</f>
        <v>0.282901295893816</v>
      </c>
      <c r="H293" s="46" t="n">
        <f aca="false">IF(H285=0,0,H292/H285)</f>
        <v>0.312879356697199</v>
      </c>
    </row>
    <row r="294" customFormat="false" ht="15" hidden="false" customHeight="true" outlineLevel="0" collapsed="false">
      <c r="B294" s="38" t="s">
        <v>117</v>
      </c>
      <c r="D294" s="43" t="n">
        <f aca="false">D285*Inputs!$D$52</f>
        <v>42120</v>
      </c>
      <c r="E294" s="43" t="n">
        <f aca="false">E285*Inputs!$D$52</f>
        <v>56553.12</v>
      </c>
      <c r="F294" s="43" t="n">
        <f aca="false">F285*Inputs!$D$52</f>
        <v>70989.048</v>
      </c>
      <c r="G294" s="43" t="n">
        <f aca="false">G285*Inputs!$D$52</f>
        <v>83609.3232</v>
      </c>
      <c r="H294" s="43" t="n">
        <f aca="false">H285*Inputs!$D$52</f>
        <v>97488.4708512</v>
      </c>
    </row>
    <row r="295" customFormat="false" ht="15" hidden="false" customHeight="true" outlineLevel="0" collapsed="false">
      <c r="B295" s="38" t="s">
        <v>118</v>
      </c>
      <c r="D295" s="43" t="n">
        <f aca="false">'Asset Register'!$M$25+0/5+D294/10</f>
        <v>403882.363155843</v>
      </c>
      <c r="E295" s="43" t="n">
        <f aca="false">'Asset Register'!$M$26+SUM($D294:D294)/5+E294/10</f>
        <v>413749.675155843</v>
      </c>
      <c r="F295" s="43" t="n">
        <f aca="false">'Asset Register'!$M$27+SUM($D294:E294)/5+F294/10</f>
        <v>426503.891955843</v>
      </c>
      <c r="G295" s="43" t="n">
        <f aca="false">'Asset Register'!$M$28+SUM($D294:F294)/5+G294/10</f>
        <v>441963.729075843</v>
      </c>
      <c r="H295" s="43" t="n">
        <f aca="false">'Asset Register'!$M$29+SUM($D294:G294)/5+H294/10</f>
        <v>460073.508480963</v>
      </c>
    </row>
    <row r="296" customFormat="false" ht="15" hidden="false" customHeight="true" outlineLevel="0" collapsed="false">
      <c r="B296" s="38" t="s">
        <v>119</v>
      </c>
      <c r="D296" s="43" t="n">
        <f aca="false">D292-D295</f>
        <v>-291867.427828981</v>
      </c>
      <c r="E296" s="43" t="n">
        <f aca="false">E292-E295</f>
        <v>-66341.8557458345</v>
      </c>
      <c r="F296" s="43" t="n">
        <f aca="false">F292-F295</f>
        <v>157814.040454946</v>
      </c>
      <c r="G296" s="43" t="n">
        <f aca="false">G292-G295</f>
        <v>346475.800326986</v>
      </c>
      <c r="H296" s="43" t="n">
        <f aca="false">H292-H295</f>
        <v>556664.159696272</v>
      </c>
    </row>
    <row r="297" customFormat="false" ht="15" hidden="false" customHeight="true" outlineLevel="0" collapsed="false">
      <c r="B297" s="38" t="s">
        <v>120</v>
      </c>
      <c r="D297" s="43" t="n">
        <f aca="false">MAX(0,D296)*Inputs!$D$54</f>
        <v>0</v>
      </c>
      <c r="E297" s="43" t="n">
        <f aca="false">MAX(0,E296)*Inputs!$D$54</f>
        <v>0</v>
      </c>
      <c r="F297" s="43" t="n">
        <f aca="false">MAX(0,F296)*Inputs!$D$54</f>
        <v>47344.2121364838</v>
      </c>
      <c r="G297" s="43" t="n">
        <f aca="false">MAX(0,G296)*Inputs!$D$54</f>
        <v>103942.740098096</v>
      </c>
      <c r="H297" s="43" t="n">
        <f aca="false">MAX(0,H296)*Inputs!$D$54</f>
        <v>166999.247908882</v>
      </c>
    </row>
    <row r="298" customFormat="false" ht="15" hidden="false" customHeight="true" outlineLevel="0" collapsed="false">
      <c r="B298" s="38" t="s">
        <v>121</v>
      </c>
      <c r="D298" s="43" t="n">
        <f aca="false">D296-D297</f>
        <v>-291867.427828981</v>
      </c>
      <c r="E298" s="43" t="n">
        <f aca="false">E296-E297</f>
        <v>-66341.8557458345</v>
      </c>
      <c r="F298" s="43" t="n">
        <f aca="false">F296-F297</f>
        <v>110469.828318462</v>
      </c>
      <c r="G298" s="43" t="n">
        <f aca="false">G296-G297</f>
        <v>242533.06022889</v>
      </c>
      <c r="H298" s="43" t="n">
        <f aca="false">H296-H297</f>
        <v>389664.911787391</v>
      </c>
    </row>
    <row r="299" customFormat="false" ht="15" hidden="false" customHeight="true" outlineLevel="0" collapsed="false">
      <c r="B299" s="38" t="s">
        <v>122</v>
      </c>
      <c r="D299" s="43" t="n">
        <f aca="false">(D285-0)*Inputs!$D$53</f>
        <v>70200</v>
      </c>
      <c r="E299" s="43" t="n">
        <f aca="false">(E285-D285)*Inputs!$D$53</f>
        <v>24055.2</v>
      </c>
      <c r="F299" s="43" t="n">
        <f aca="false">(F285-E285)*Inputs!$D$53</f>
        <v>24059.8800000001</v>
      </c>
      <c r="G299" s="43" t="n">
        <f aca="false">(G285-F285)*Inputs!$D$53</f>
        <v>21033.792</v>
      </c>
      <c r="H299" s="43" t="n">
        <f aca="false">(H285-G285)*Inputs!$D$53</f>
        <v>23131.912752</v>
      </c>
    </row>
    <row r="300" customFormat="false" ht="15" hidden="false" customHeight="true" outlineLevel="0" collapsed="false">
      <c r="B300" s="37" t="s">
        <v>123</v>
      </c>
      <c r="D300" s="43" t="n">
        <f aca="false">D292-D297-D294-D299</f>
        <v>-305.064673138215</v>
      </c>
      <c r="E300" s="43" t="n">
        <f aca="false">E292-E297-E294-E299</f>
        <v>266799.499410009</v>
      </c>
      <c r="F300" s="43" t="n">
        <f aca="false">F292-F297-F294-F299</f>
        <v>441924.792274306</v>
      </c>
      <c r="G300" s="43" t="n">
        <f aca="false">G292-G297-G294-G299</f>
        <v>579853.674104734</v>
      </c>
      <c r="H300" s="43" t="n">
        <f aca="false">H292-H297-H294-H299</f>
        <v>729118.036665154</v>
      </c>
    </row>
    <row r="301" customFormat="false" ht="15" hidden="false" customHeight="true" outlineLevel="0" collapsed="false">
      <c r="B301" s="37" t="s">
        <v>124</v>
      </c>
      <c r="D301" s="43" t="n">
        <f aca="false">Capital!$J$39+D300</f>
        <v>-761055.443300078</v>
      </c>
      <c r="E301" s="43" t="n">
        <f aca="false">D301+E300</f>
        <v>-494255.943890069</v>
      </c>
      <c r="F301" s="43" t="n">
        <f aca="false">E301+F300</f>
        <v>-52331.1516157638</v>
      </c>
      <c r="G301" s="43" t="n">
        <f aca="false">F301+G300</f>
        <v>527522.52248897</v>
      </c>
      <c r="H301" s="43" t="n">
        <f aca="false">G301+H300</f>
        <v>1256640.55915412</v>
      </c>
    </row>
    <row r="304" customFormat="false" ht="15" hidden="false" customHeight="true" outlineLevel="0" collapsed="false">
      <c r="B304" s="37" t="s">
        <v>179</v>
      </c>
    </row>
    <row r="305" customFormat="false" ht="15" hidden="false" customHeight="true" outlineLevel="0" collapsed="false">
      <c r="B305" s="38" t="s">
        <v>180</v>
      </c>
      <c r="D305" s="43" t="n">
        <f aca="false">Capital!$J$39+(IF($Q$6=0,0,D285*Regions!G8/$Q$6))-(IF($Q$6=0,0,D286*D284*Regions!G8/$Q$6))-((IF($Q$6=0,0,D285*Regions!G8/$Q$6))*'Five Year'!$D$48)-(Inputs!$D$50*$J$9*(1+Inputs!$D$48)^0/12+IF(Regions!G8&gt;0,(D289-Inputs!$D$50*$J$9*(1+Inputs!$D$48)^0)/COUNTIF(Regions!$G$8:$R$8,"&gt;0"),0))-D290/12-D291/12-D297/12-D299/12-(IF($Q$6=0,0,D285*Regions!G8/$Q$6))*Inputs!$D$52</f>
        <v>-830753.808140838</v>
      </c>
      <c r="E305" s="43" t="n">
        <f aca="false">D305+(IF($Q$6=0,0,D285*Regions!H8/$Q$6))-(IF($Q$6=0,0,D286*D284*Regions!H8/$Q$6))-((IF($Q$6=0,0,D285*Regions!H8/$Q$6))*'Five Year'!$D$48)-(Inputs!$D$50*$J$9*(1+Inputs!$D$48)^0/12+IF(Regions!H8&gt;0,(D289-Inputs!$D$50*$J$9*(1+Inputs!$D$48)^0)/COUNTIF(Regions!$G$8:$R$8,"&gt;0"),0))-D290/12-D291/12-D297/12-D299/12-(IF($Q$6=0,0,D285*Regions!H8/$Q$6))*Inputs!$D$52</f>
        <v>-900757.237654736</v>
      </c>
      <c r="F305" s="43" t="n">
        <f aca="false">E305+(IF($Q$6=0,0,D285*Regions!I8/$Q$6))-(IF($Q$6=0,0,D286*D284*Regions!I8/$Q$6))-((IF($Q$6=0,0,D285*Regions!I8/$Q$6))*'Five Year'!$D$48)-(Inputs!$D$50*$J$9*(1+Inputs!$D$48)^0/12+IF(Regions!I8&gt;0,(D289-Inputs!$D$50*$J$9*(1+Inputs!$D$48)^0)/COUNTIF(Regions!$G$8:$R$8,"&gt;0"),0))-D290/12-D291/12-D297/12-D299/12-(IF($Q$6=0,0,D285*Regions!I8/$Q$6))*Inputs!$D$52</f>
        <v>-886787.05821927</v>
      </c>
      <c r="G305" s="43" t="n">
        <f aca="false">F305+(IF($Q$6=0,0,D285*Regions!J8/$Q$6))-(IF($Q$6=0,0,D286*D284*Regions!J8/$Q$6))-((IF($Q$6=0,0,D285*Regions!J8/$Q$6))*'Five Year'!$D$48)-(Inputs!$D$50*$J$9*(1+Inputs!$D$48)^0/12+IF(Regions!J8&gt;0,(D289-Inputs!$D$50*$J$9*(1+Inputs!$D$48)^0)/COUNTIF(Regions!$G$8:$R$8,"&gt;0"),0))-D290/12-D291/12-D297/12-D299/12-(IF($Q$6=0,0,D285*Regions!J8/$Q$6))*Inputs!$D$52</f>
        <v>-872816.878783805</v>
      </c>
      <c r="H305" s="43" t="n">
        <f aca="false">G305+(IF($Q$6=0,0,D285*Regions!K8/$Q$6))-(IF($Q$6=0,0,D286*D284*Regions!K8/$Q$6))-((IF($Q$6=0,0,D285*Regions!K8/$Q$6))*'Five Year'!$D$48)-(Inputs!$D$50*$J$9*(1+Inputs!$D$48)^0/12+IF(Regions!K8&gt;0,(D289-Inputs!$D$50*$J$9*(1+Inputs!$D$48)^0)/COUNTIF(Regions!$G$8:$R$8,"&gt;0"),0))-D290/12-D291/12-D297/12-D299/12-(IF($Q$6=0,0,D285*Regions!K8/$Q$6))*Inputs!$D$52</f>
        <v>-858846.699348339</v>
      </c>
      <c r="I305" s="43" t="n">
        <f aca="false">H305+(IF($Q$6=0,0,D285*Regions!L8/$Q$6))-(IF($Q$6=0,0,D286*D284*Regions!L8/$Q$6))-((IF($Q$6=0,0,D285*Regions!L8/$Q$6))*'Five Year'!$D$48)-(Inputs!$D$50*$J$9*(1+Inputs!$D$48)^0/12+IF(Regions!L8&gt;0,(D289-Inputs!$D$50*$J$9*(1+Inputs!$D$48)^0)/COUNTIF(Regions!$G$8:$R$8,"&gt;0"),0))-D290/12-D291/12-D297/12-D299/12-(IF($Q$6=0,0,D285*Regions!L8/$Q$6))*Inputs!$D$52</f>
        <v>-844876.519912873</v>
      </c>
      <c r="J305" s="43" t="n">
        <f aca="false">I305+(IF($Q$6=0,0,D285*Regions!M8/$Q$6))-(IF($Q$6=0,0,D286*D284*Regions!M8/$Q$6))-((IF($Q$6=0,0,D285*Regions!M8/$Q$6))*'Five Year'!$D$48)-(Inputs!$D$50*$J$9*(1+Inputs!$D$48)^0/12+IF(Regions!M8&gt;0,(D289-Inputs!$D$50*$J$9*(1+Inputs!$D$48)^0)/COUNTIF(Regions!$G$8:$R$8,"&gt;0"),0))-D290/12-D291/12-D297/12-D299/12-(IF($Q$6=0,0,D285*Regions!M8/$Q$6))*Inputs!$D$52</f>
        <v>-830906.340477407</v>
      </c>
      <c r="K305" s="43" t="n">
        <f aca="false">J305+(IF($Q$6=0,0,D285*Regions!N8/$Q$6))-(IF($Q$6=0,0,D286*D284*Regions!N8/$Q$6))-((IF($Q$6=0,0,D285*Regions!N8/$Q$6))*'Five Year'!$D$48)-(Inputs!$D$50*$J$9*(1+Inputs!$D$48)^0/12+IF(Regions!N8&gt;0,(D289-Inputs!$D$50*$J$9*(1+Inputs!$D$48)^0)/COUNTIF(Regions!$G$8:$R$8,"&gt;0"),0))-D290/12-D291/12-D297/12-D299/12-(IF($Q$6=0,0,D285*Regions!N8/$Q$6))*Inputs!$D$52</f>
        <v>-816936.161041941</v>
      </c>
      <c r="L305" s="43" t="n">
        <f aca="false">K305+(IF($Q$6=0,0,D285*Regions!O8/$Q$6))-(IF($Q$6=0,0,D286*D284*Regions!O8/$Q$6))-((IF($Q$6=0,0,D285*Regions!O8/$Q$6))*'Five Year'!$D$48)-(Inputs!$D$50*$J$9*(1+Inputs!$D$48)^0/12+IF(Regions!O8&gt;0,(D289-Inputs!$D$50*$J$9*(1+Inputs!$D$48)^0)/COUNTIF(Regions!$G$8:$R$8,"&gt;0"),0))-D290/12-D291/12-D297/12-D299/12-(IF($Q$6=0,0,D285*Regions!O8/$Q$6))*Inputs!$D$52</f>
        <v>-802965.981606475</v>
      </c>
      <c r="M305" s="43" t="n">
        <f aca="false">L305+(IF($Q$6=0,0,D285*Regions!P8/$Q$6))-(IF($Q$6=0,0,D286*D284*Regions!P8/$Q$6))-((IF($Q$6=0,0,D285*Regions!P8/$Q$6))*'Five Year'!$D$48)-(Inputs!$D$50*$J$9*(1+Inputs!$D$48)^0/12+IF(Regions!P8&gt;0,(D289-Inputs!$D$50*$J$9*(1+Inputs!$D$48)^0)/COUNTIF(Regions!$G$8:$R$8,"&gt;0"),0))-D290/12-D291/12-D297/12-D299/12-(IF($Q$6=0,0,D285*Regions!P8/$Q$6))*Inputs!$D$52</f>
        <v>-788995.80217101</v>
      </c>
      <c r="N305" s="43" t="n">
        <f aca="false">M305+(IF($Q$6=0,0,D285*Regions!Q8/$Q$6))-(IF($Q$6=0,0,D286*D284*Regions!Q8/$Q$6))-((IF($Q$6=0,0,D285*Regions!Q8/$Q$6))*'Five Year'!$D$48)-(Inputs!$D$50*$J$9*(1+Inputs!$D$48)^0/12+IF(Regions!Q8&gt;0,(D289-Inputs!$D$50*$J$9*(1+Inputs!$D$48)^0)/COUNTIF(Regions!$G$8:$R$8,"&gt;0"),0))-D290/12-D291/12-D297/12-D299/12-(IF($Q$6=0,0,D285*Regions!Q8/$Q$6))*Inputs!$D$52</f>
        <v>-775025.622735544</v>
      </c>
      <c r="O305" s="43" t="n">
        <f aca="false">N305+(IF($Q$6=0,0,D285*Regions!R8/$Q$6))-(IF($Q$6=0,0,D286*D284*Regions!R8/$Q$6))-((IF($Q$6=0,0,D285*Regions!R8/$Q$6))*'Five Year'!$D$48)-(Inputs!$D$50*$J$9*(1+Inputs!$D$48)^0/12+IF(Regions!R8&gt;0,(D289-Inputs!$D$50*$J$9*(1+Inputs!$D$48)^0)/COUNTIF(Regions!$G$8:$R$8,"&gt;0"),0))-D290/12-D291/12-D297/12-D299/12-(IF($Q$6=0,0,D285*Regions!R8/$Q$6))*Inputs!$D$52</f>
        <v>-761055.443300078</v>
      </c>
      <c r="Q305" s="43" t="n">
        <f aca="false">O305</f>
        <v>-761055.443300078</v>
      </c>
      <c r="R305" s="43" t="n">
        <f aca="false">MIN(D305:O305)</f>
        <v>-900757.237654736</v>
      </c>
    </row>
    <row r="306" customFormat="false" ht="15" hidden="false" customHeight="true" outlineLevel="0" collapsed="false">
      <c r="B306" s="38" t="s">
        <v>181</v>
      </c>
      <c r="D306" s="43" t="n">
        <f aca="false">$Q305+(IF($Q$6=0,0,E285*Regions!G8/$Q$6))-(IF($Q$6=0,0,E286*E284*Regions!G8/$Q$6))-((IF($Q$6=0,0,E285*Regions!G8/$Q$6))*'Five Year'!$D$48)-(Inputs!$D$50*$J$9*(1+Inputs!$D$48)^1/12+IF(Regions!G8&gt;0,(E289-Inputs!$D$50*$J$9*(1+Inputs!$D$48)^1)/COUNTIF(Regions!$G$8:$R$8,"&gt;0"),0))-E290/12-E291/12-E297/12-E299/12-(IF($Q$6=0,0,E285*Regions!G8/$Q$6))*Inputs!$D$52</f>
        <v>-830540.17858481</v>
      </c>
      <c r="E306" s="43" t="n">
        <f aca="false">D306+(IF($Q$6=0,0,E285*Regions!H8/$Q$6))-(IF($Q$6=0,0,E286*E284*Regions!H8/$Q$6))-((IF($Q$6=0,0,E285*Regions!H8/$Q$6))*'Five Year'!$D$48)-(Inputs!$D$50*$J$9*(1+Inputs!$D$48)^1/12+IF(Regions!H8&gt;0,(E289-Inputs!$D$50*$J$9*(1+Inputs!$D$48)^1)/COUNTIF(Regions!$G$8:$R$8,"&gt;0"),0))-E290/12-E291/12-E297/12-E299/12-(IF($Q$6=0,0,E285*Regions!H8/$Q$6))*Inputs!$D$52</f>
        <v>-900024.913869542</v>
      </c>
      <c r="F306" s="43" t="n">
        <f aca="false">E306+(IF($Q$6=0,0,E285*Regions!I8/$Q$6))-(IF($Q$6=0,0,E286*E284*Regions!I8/$Q$6))-((IF($Q$6=0,0,E285*Regions!I8/$Q$6))*'Five Year'!$D$48)-(Inputs!$D$50*$J$9*(1+Inputs!$D$48)^1/12+IF(Regions!I8&gt;0,(E289-Inputs!$D$50*$J$9*(1+Inputs!$D$48)^1)/COUNTIF(Regions!$G$8:$R$8,"&gt;0"),0))-E290/12-E291/12-E297/12-E299/12-(IF($Q$6=0,0,E285*Regions!I8/$Q$6))*Inputs!$D$52</f>
        <v>-859448.016871595</v>
      </c>
      <c r="G306" s="43" t="n">
        <f aca="false">F306+(IF($Q$6=0,0,E285*Regions!J8/$Q$6))-(IF($Q$6=0,0,E286*E284*Regions!J8/$Q$6))-((IF($Q$6=0,0,E285*Regions!J8/$Q$6))*'Five Year'!$D$48)-(Inputs!$D$50*$J$9*(1+Inputs!$D$48)^1/12+IF(Regions!J8&gt;0,(E289-Inputs!$D$50*$J$9*(1+Inputs!$D$48)^1)/COUNTIF(Regions!$G$8:$R$8,"&gt;0"),0))-E290/12-E291/12-E297/12-E299/12-(IF($Q$6=0,0,E285*Regions!J8/$Q$6))*Inputs!$D$52</f>
        <v>-818871.119873648</v>
      </c>
      <c r="H306" s="43" t="n">
        <f aca="false">G306+(IF($Q$6=0,0,E285*Regions!K8/$Q$6))-(IF($Q$6=0,0,E286*E284*Regions!K8/$Q$6))-((IF($Q$6=0,0,E285*Regions!K8/$Q$6))*'Five Year'!$D$48)-(Inputs!$D$50*$J$9*(1+Inputs!$D$48)^1/12+IF(Regions!K8&gt;0,(E289-Inputs!$D$50*$J$9*(1+Inputs!$D$48)^1)/COUNTIF(Regions!$G$8:$R$8,"&gt;0"),0))-E290/12-E291/12-E297/12-E299/12-(IF($Q$6=0,0,E285*Regions!K8/$Q$6))*Inputs!$D$52</f>
        <v>-778294.2228757</v>
      </c>
      <c r="I306" s="43" t="n">
        <f aca="false">H306+(IF($Q$6=0,0,E285*Regions!L8/$Q$6))-(IF($Q$6=0,0,E286*E284*Regions!L8/$Q$6))-((IF($Q$6=0,0,E285*Regions!L8/$Q$6))*'Five Year'!$D$48)-(Inputs!$D$50*$J$9*(1+Inputs!$D$48)^1/12+IF(Regions!L8&gt;0,(E289-Inputs!$D$50*$J$9*(1+Inputs!$D$48)^1)/COUNTIF(Regions!$G$8:$R$8,"&gt;0"),0))-E290/12-E291/12-E297/12-E299/12-(IF($Q$6=0,0,E285*Regions!L8/$Q$6))*Inputs!$D$52</f>
        <v>-737717.325877753</v>
      </c>
      <c r="J306" s="43" t="n">
        <f aca="false">I306+(IF($Q$6=0,0,E285*Regions!M8/$Q$6))-(IF($Q$6=0,0,E286*E284*Regions!M8/$Q$6))-((IF($Q$6=0,0,E285*Regions!M8/$Q$6))*'Five Year'!$D$48)-(Inputs!$D$50*$J$9*(1+Inputs!$D$48)^1/12+IF(Regions!M8&gt;0,(E289-Inputs!$D$50*$J$9*(1+Inputs!$D$48)^1)/COUNTIF(Regions!$G$8:$R$8,"&gt;0"),0))-E290/12-E291/12-E297/12-E299/12-(IF($Q$6=0,0,E285*Regions!M8/$Q$6))*Inputs!$D$52</f>
        <v>-697140.428879806</v>
      </c>
      <c r="K306" s="43" t="n">
        <f aca="false">J306+(IF($Q$6=0,0,E285*Regions!N8/$Q$6))-(IF($Q$6=0,0,E286*E284*Regions!N8/$Q$6))-((IF($Q$6=0,0,E285*Regions!N8/$Q$6))*'Five Year'!$D$48)-(Inputs!$D$50*$J$9*(1+Inputs!$D$48)^1/12+IF(Regions!N8&gt;0,(E289-Inputs!$D$50*$J$9*(1+Inputs!$D$48)^1)/COUNTIF(Regions!$G$8:$R$8,"&gt;0"),0))-E290/12-E291/12-E297/12-E299/12-(IF($Q$6=0,0,E285*Regions!N8/$Q$6))*Inputs!$D$52</f>
        <v>-656563.531881859</v>
      </c>
      <c r="L306" s="43" t="n">
        <f aca="false">K306+(IF($Q$6=0,0,E285*Regions!O8/$Q$6))-(IF($Q$6=0,0,E286*E284*Regions!O8/$Q$6))-((IF($Q$6=0,0,E285*Regions!O8/$Q$6))*'Five Year'!$D$48)-(Inputs!$D$50*$J$9*(1+Inputs!$D$48)^1/12+IF(Regions!O8&gt;0,(E289-Inputs!$D$50*$J$9*(1+Inputs!$D$48)^1)/COUNTIF(Regions!$G$8:$R$8,"&gt;0"),0))-E290/12-E291/12-E297/12-E299/12-(IF($Q$6=0,0,E285*Regions!O8/$Q$6))*Inputs!$D$52</f>
        <v>-615986.634883911</v>
      </c>
      <c r="M306" s="43" t="n">
        <f aca="false">L306+(IF($Q$6=0,0,E285*Regions!P8/$Q$6))-(IF($Q$6=0,0,E286*E284*Regions!P8/$Q$6))-((IF($Q$6=0,0,E285*Regions!P8/$Q$6))*'Five Year'!$D$48)-(Inputs!$D$50*$J$9*(1+Inputs!$D$48)^1/12+IF(Regions!P8&gt;0,(E289-Inputs!$D$50*$J$9*(1+Inputs!$D$48)^1)/COUNTIF(Regions!$G$8:$R$8,"&gt;0"),0))-E290/12-E291/12-E297/12-E299/12-(IF($Q$6=0,0,E285*Regions!P8/$Q$6))*Inputs!$D$52</f>
        <v>-575409.737885964</v>
      </c>
      <c r="N306" s="43" t="n">
        <f aca="false">M306+(IF($Q$6=0,0,E285*Regions!Q8/$Q$6))-(IF($Q$6=0,0,E286*E284*Regions!Q8/$Q$6))-((IF($Q$6=0,0,E285*Regions!Q8/$Q$6))*'Five Year'!$D$48)-(Inputs!$D$50*$J$9*(1+Inputs!$D$48)^1/12+IF(Regions!Q8&gt;0,(E289-Inputs!$D$50*$J$9*(1+Inputs!$D$48)^1)/COUNTIF(Regions!$G$8:$R$8,"&gt;0"),0))-E290/12-E291/12-E297/12-E299/12-(IF($Q$6=0,0,E285*Regions!Q8/$Q$6))*Inputs!$D$52</f>
        <v>-534832.840888017</v>
      </c>
      <c r="O306" s="43" t="n">
        <f aca="false">N306+(IF($Q$6=0,0,E285*Regions!R8/$Q$6))-(IF($Q$6=0,0,E286*E284*Regions!R8/$Q$6))-((IF($Q$6=0,0,E285*Regions!R8/$Q$6))*'Five Year'!$D$48)-(Inputs!$D$50*$J$9*(1+Inputs!$D$48)^1/12+IF(Regions!R8&gt;0,(E289-Inputs!$D$50*$J$9*(1+Inputs!$D$48)^1)/COUNTIF(Regions!$G$8:$R$8,"&gt;0"),0))-E290/12-E291/12-E297/12-E299/12-(IF($Q$6=0,0,E285*Regions!R8/$Q$6))*Inputs!$D$52</f>
        <v>-494255.94389007</v>
      </c>
      <c r="Q306" s="43" t="n">
        <f aca="false">O306</f>
        <v>-494255.94389007</v>
      </c>
      <c r="R306" s="43" t="n">
        <f aca="false">MIN(D306:O306)</f>
        <v>-900024.913869542</v>
      </c>
    </row>
    <row r="307" customFormat="false" ht="15" hidden="false" customHeight="true" outlineLevel="0" collapsed="false">
      <c r="B307" s="38" t="s">
        <v>182</v>
      </c>
      <c r="D307" s="43" t="n">
        <f aca="false">$Q306+(IF($Q$6=0,0,F285*Regions!G8/$Q$6))-(IF($Q$6=0,0,F286*F284*Regions!G8/$Q$6))-((IF($Q$6=0,0,F285*Regions!G8/$Q$6))*'Five Year'!$D$48)-(Inputs!$D$50*$J$9*(1+Inputs!$D$48)^2/12+IF(Regions!G8&gt;0,(F289-Inputs!$D$50*$J$9*(1+Inputs!$D$48)^2)/COUNTIF(Regions!$G$8:$R$8,"&gt;0"),0))-F290/12-F291/12-F297/12-F299/12-(IF($Q$6=0,0,F285*Regions!G8/$Q$6))*Inputs!$D$52</f>
        <v>-571197.053303259</v>
      </c>
      <c r="E307" s="43" t="n">
        <f aca="false">D307+(IF($Q$6=0,0,F285*Regions!H8/$Q$6))-(IF($Q$6=0,0,F286*F284*Regions!H8/$Q$6))-((IF($Q$6=0,0,F285*Regions!H8/$Q$6))*'Five Year'!$D$48)-(Inputs!$D$50*$J$9*(1+Inputs!$D$48)^2/12+IF(Regions!H8&gt;0,(F289-Inputs!$D$50*$J$9*(1+Inputs!$D$48)^2)/COUNTIF(Regions!$G$8:$R$8,"&gt;0"),0))-F290/12-F291/12-F297/12-F299/12-(IF($Q$6=0,0,F285*Regions!H8/$Q$6))*Inputs!$D$52</f>
        <v>-648138.162716449</v>
      </c>
      <c r="F307" s="43" t="n">
        <f aca="false">E307+(IF($Q$6=0,0,F285*Regions!I8/$Q$6))-(IF($Q$6=0,0,F286*F284*Regions!I8/$Q$6))-((IF($Q$6=0,0,F285*Regions!I8/$Q$6))*'Five Year'!$D$48)-(Inputs!$D$50*$J$9*(1+Inputs!$D$48)^2/12+IF(Regions!I8&gt;0,(F289-Inputs!$D$50*$J$9*(1+Inputs!$D$48)^2)/COUNTIF(Regions!$G$8:$R$8,"&gt;0"),0))-F290/12-F291/12-F297/12-F299/12-(IF($Q$6=0,0,F285*Regions!I8/$Q$6))*Inputs!$D$52</f>
        <v>-588557.461606381</v>
      </c>
      <c r="G307" s="43" t="n">
        <f aca="false">F307+(IF($Q$6=0,0,F285*Regions!J8/$Q$6))-(IF($Q$6=0,0,F286*F284*Regions!J8/$Q$6))-((IF($Q$6=0,0,F285*Regions!J8/$Q$6))*'Five Year'!$D$48)-(Inputs!$D$50*$J$9*(1+Inputs!$D$48)^2/12+IF(Regions!J8&gt;0,(F289-Inputs!$D$50*$J$9*(1+Inputs!$D$48)^2)/COUNTIF(Regions!$G$8:$R$8,"&gt;0"),0))-F290/12-F291/12-F297/12-F299/12-(IF($Q$6=0,0,F285*Regions!J8/$Q$6))*Inputs!$D$52</f>
        <v>-528976.760496312</v>
      </c>
      <c r="H307" s="43" t="n">
        <f aca="false">G307+(IF($Q$6=0,0,F285*Regions!K8/$Q$6))-(IF($Q$6=0,0,F286*F284*Regions!K8/$Q$6))-((IF($Q$6=0,0,F285*Regions!K8/$Q$6))*'Five Year'!$D$48)-(Inputs!$D$50*$J$9*(1+Inputs!$D$48)^2/12+IF(Regions!K8&gt;0,(F289-Inputs!$D$50*$J$9*(1+Inputs!$D$48)^2)/COUNTIF(Regions!$G$8:$R$8,"&gt;0"),0))-F290/12-F291/12-F297/12-F299/12-(IF($Q$6=0,0,F285*Regions!K8/$Q$6))*Inputs!$D$52</f>
        <v>-469396.059386243</v>
      </c>
      <c r="I307" s="43" t="n">
        <f aca="false">H307+(IF($Q$6=0,0,F285*Regions!L8/$Q$6))-(IF($Q$6=0,0,F286*F284*Regions!L8/$Q$6))-((IF($Q$6=0,0,F285*Regions!L8/$Q$6))*'Five Year'!$D$48)-(Inputs!$D$50*$J$9*(1+Inputs!$D$48)^2/12+IF(Regions!L8&gt;0,(F289-Inputs!$D$50*$J$9*(1+Inputs!$D$48)^2)/COUNTIF(Regions!$G$8:$R$8,"&gt;0"),0))-F290/12-F291/12-F297/12-F299/12-(IF($Q$6=0,0,F285*Regions!L8/$Q$6))*Inputs!$D$52</f>
        <v>-409815.358276175</v>
      </c>
      <c r="J307" s="43" t="n">
        <f aca="false">I307+(IF($Q$6=0,0,F285*Regions!M8/$Q$6))-(IF($Q$6=0,0,F286*F284*Regions!M8/$Q$6))-((IF($Q$6=0,0,F285*Regions!M8/$Q$6))*'Five Year'!$D$48)-(Inputs!$D$50*$J$9*(1+Inputs!$D$48)^2/12+IF(Regions!M8&gt;0,(F289-Inputs!$D$50*$J$9*(1+Inputs!$D$48)^2)/COUNTIF(Regions!$G$8:$R$8,"&gt;0"),0))-F290/12-F291/12-F297/12-F299/12-(IF($Q$6=0,0,F285*Regions!M8/$Q$6))*Inputs!$D$52</f>
        <v>-350234.657166106</v>
      </c>
      <c r="K307" s="43" t="n">
        <f aca="false">J307+(IF($Q$6=0,0,F285*Regions!N8/$Q$6))-(IF($Q$6=0,0,F286*F284*Regions!N8/$Q$6))-((IF($Q$6=0,0,F285*Regions!N8/$Q$6))*'Five Year'!$D$48)-(Inputs!$D$50*$J$9*(1+Inputs!$D$48)^2/12+IF(Regions!N8&gt;0,(F289-Inputs!$D$50*$J$9*(1+Inputs!$D$48)^2)/COUNTIF(Regions!$G$8:$R$8,"&gt;0"),0))-F290/12-F291/12-F297/12-F299/12-(IF($Q$6=0,0,F285*Regions!N8/$Q$6))*Inputs!$D$52</f>
        <v>-290653.956056038</v>
      </c>
      <c r="L307" s="43" t="n">
        <f aca="false">K307+(IF($Q$6=0,0,F285*Regions!O8/$Q$6))-(IF($Q$6=0,0,F286*F284*Regions!O8/$Q$6))-((IF($Q$6=0,0,F285*Regions!O8/$Q$6))*'Five Year'!$D$48)-(Inputs!$D$50*$J$9*(1+Inputs!$D$48)^2/12+IF(Regions!O8&gt;0,(F289-Inputs!$D$50*$J$9*(1+Inputs!$D$48)^2)/COUNTIF(Regions!$G$8:$R$8,"&gt;0"),0))-F290/12-F291/12-F297/12-F299/12-(IF($Q$6=0,0,F285*Regions!O8/$Q$6))*Inputs!$D$52</f>
        <v>-231073.254945969</v>
      </c>
      <c r="M307" s="43" t="n">
        <f aca="false">L307+(IF($Q$6=0,0,F285*Regions!P8/$Q$6))-(IF($Q$6=0,0,F286*F284*Regions!P8/$Q$6))-((IF($Q$6=0,0,F285*Regions!P8/$Q$6))*'Five Year'!$D$48)-(Inputs!$D$50*$J$9*(1+Inputs!$D$48)^2/12+IF(Regions!P8&gt;0,(F289-Inputs!$D$50*$J$9*(1+Inputs!$D$48)^2)/COUNTIF(Regions!$G$8:$R$8,"&gt;0"),0))-F290/12-F291/12-F297/12-F299/12-(IF($Q$6=0,0,F285*Regions!P8/$Q$6))*Inputs!$D$52</f>
        <v>-171492.553835901</v>
      </c>
      <c r="N307" s="43" t="n">
        <f aca="false">M307+(IF($Q$6=0,0,F285*Regions!Q8/$Q$6))-(IF($Q$6=0,0,F286*F284*Regions!Q8/$Q$6))-((IF($Q$6=0,0,F285*Regions!Q8/$Q$6))*'Five Year'!$D$48)-(Inputs!$D$50*$J$9*(1+Inputs!$D$48)^2/12+IF(Regions!Q8&gt;0,(F289-Inputs!$D$50*$J$9*(1+Inputs!$D$48)^2)/COUNTIF(Regions!$G$8:$R$8,"&gt;0"),0))-F290/12-F291/12-F297/12-F299/12-(IF($Q$6=0,0,F285*Regions!Q8/$Q$6))*Inputs!$D$52</f>
        <v>-111911.852725832</v>
      </c>
      <c r="O307" s="43" t="n">
        <f aca="false">N307+(IF($Q$6=0,0,F285*Regions!R8/$Q$6))-(IF($Q$6=0,0,F286*F284*Regions!R8/$Q$6))-((IF($Q$6=0,0,F285*Regions!R8/$Q$6))*'Five Year'!$D$48)-(Inputs!$D$50*$J$9*(1+Inputs!$D$48)^2/12+IF(Regions!R8&gt;0,(F289-Inputs!$D$50*$J$9*(1+Inputs!$D$48)^2)/COUNTIF(Regions!$G$8:$R$8,"&gt;0"),0))-F290/12-F291/12-F297/12-F299/12-(IF($Q$6=0,0,F285*Regions!R8/$Q$6))*Inputs!$D$52</f>
        <v>-52331.151615764</v>
      </c>
      <c r="Q307" s="43" t="n">
        <f aca="false">O307</f>
        <v>-52331.151615764</v>
      </c>
      <c r="R307" s="43" t="n">
        <f aca="false">MIN(D307:O307)</f>
        <v>-648138.162716449</v>
      </c>
    </row>
    <row r="308" customFormat="false" ht="15" hidden="false" customHeight="true" outlineLevel="0" collapsed="false">
      <c r="B308" s="38" t="s">
        <v>183</v>
      </c>
      <c r="D308" s="43" t="n">
        <f aca="false">$Q307+(IF($Q$6=0,0,G285*Regions!G8/$Q$6))-(IF($Q$6=0,0,G286*G284*Regions!G8/$Q$6))-((IF($Q$6=0,0,G285*Regions!G8/$Q$6))*'Five Year'!$D$48)-(Inputs!$D$50*$J$9*(1+Inputs!$D$48)^3/12+IF(Regions!G8&gt;0,(G289-Inputs!$D$50*$J$9*(1+Inputs!$D$48)^3)/COUNTIF(Regions!$G$8:$R$8,"&gt;0"),0))-G290/12-G291/12-G297/12-G299/12-(IF($Q$6=0,0,G285*Regions!G8/$Q$6))*Inputs!$D$52</f>
        <v>-137441.756879864</v>
      </c>
      <c r="E308" s="43" t="n">
        <f aca="false">D308+(IF($Q$6=0,0,G285*Regions!H8/$Q$6))-(IF($Q$6=0,0,G286*G284*Regions!H8/$Q$6))-((IF($Q$6=0,0,G285*Regions!H8/$Q$6))*'Five Year'!$D$48)-(Inputs!$D$50*$J$9*(1+Inputs!$D$48)^3/12+IF(Regions!H8&gt;0,(G289-Inputs!$D$50*$J$9*(1+Inputs!$D$48)^3)/COUNTIF(Regions!$G$8:$R$8,"&gt;0"),0))-G290/12-G291/12-G297/12-G299/12-(IF($Q$6=0,0,G285*Regions!H8/$Q$6))*Inputs!$D$52</f>
        <v>-222552.362143963</v>
      </c>
      <c r="F308" s="43" t="n">
        <f aca="false">E308+(IF($Q$6=0,0,G285*Regions!I8/$Q$6))-(IF($Q$6=0,0,G286*G284*Regions!I8/$Q$6))-((IF($Q$6=0,0,G285*Regions!I8/$Q$6))*'Five Year'!$D$48)-(Inputs!$D$50*$J$9*(1+Inputs!$D$48)^3/12+IF(Regions!I8&gt;0,(G289-Inputs!$D$50*$J$9*(1+Inputs!$D$48)^3)/COUNTIF(Regions!$G$8:$R$8,"&gt;0"),0))-G290/12-G291/12-G297/12-G299/12-(IF($Q$6=0,0,G285*Regions!I8/$Q$6))*Inputs!$D$52</f>
        <v>-147544.87368067</v>
      </c>
      <c r="G308" s="43" t="n">
        <f aca="false">F308+(IF($Q$6=0,0,G285*Regions!J8/$Q$6))-(IF($Q$6=0,0,G286*G284*Regions!J8/$Q$6))-((IF($Q$6=0,0,G285*Regions!J8/$Q$6))*'Five Year'!$D$48)-(Inputs!$D$50*$J$9*(1+Inputs!$D$48)^3/12+IF(Regions!J8&gt;0,(G289-Inputs!$D$50*$J$9*(1+Inputs!$D$48)^3)/COUNTIF(Regions!$G$8:$R$8,"&gt;0"),0))-G290/12-G291/12-G297/12-G299/12-(IF($Q$6=0,0,G285*Regions!J8/$Q$6))*Inputs!$D$52</f>
        <v>-72537.3852173767</v>
      </c>
      <c r="H308" s="43" t="n">
        <f aca="false">G308+(IF($Q$6=0,0,G285*Regions!K8/$Q$6))-(IF($Q$6=0,0,G286*G284*Regions!K8/$Q$6))-((IF($Q$6=0,0,G285*Regions!K8/$Q$6))*'Five Year'!$D$48)-(Inputs!$D$50*$J$9*(1+Inputs!$D$48)^3/12+IF(Regions!K8&gt;0,(G289-Inputs!$D$50*$J$9*(1+Inputs!$D$48)^3)/COUNTIF(Regions!$G$8:$R$8,"&gt;0"),0))-G290/12-G291/12-G297/12-G299/12-(IF($Q$6=0,0,G285*Regions!K8/$Q$6))*Inputs!$D$52</f>
        <v>2470.10324591664</v>
      </c>
      <c r="I308" s="43" t="n">
        <f aca="false">H308+(IF($Q$6=0,0,G285*Regions!L8/$Q$6))-(IF($Q$6=0,0,G286*G284*Regions!L8/$Q$6))-((IF($Q$6=0,0,G285*Regions!L8/$Q$6))*'Five Year'!$D$48)-(Inputs!$D$50*$J$9*(1+Inputs!$D$48)^3/12+IF(Regions!L8&gt;0,(G289-Inputs!$D$50*$J$9*(1+Inputs!$D$48)^3)/COUNTIF(Regions!$G$8:$R$8,"&gt;0"),0))-G290/12-G291/12-G297/12-G299/12-(IF($Q$6=0,0,G285*Regions!L8/$Q$6))*Inputs!$D$52</f>
        <v>77477.59170921</v>
      </c>
      <c r="J308" s="43" t="n">
        <f aca="false">I308+(IF($Q$6=0,0,G285*Regions!M8/$Q$6))-(IF($Q$6=0,0,G286*G284*Regions!M8/$Q$6))-((IF($Q$6=0,0,G285*Regions!M8/$Q$6))*'Five Year'!$D$48)-(Inputs!$D$50*$J$9*(1+Inputs!$D$48)^3/12+IF(Regions!M8&gt;0,(G289-Inputs!$D$50*$J$9*(1+Inputs!$D$48)^3)/COUNTIF(Regions!$G$8:$R$8,"&gt;0"),0))-G290/12-G291/12-G297/12-G299/12-(IF($Q$6=0,0,G285*Regions!M8/$Q$6))*Inputs!$D$52</f>
        <v>152485.080172503</v>
      </c>
      <c r="K308" s="43" t="n">
        <f aca="false">J308+(IF($Q$6=0,0,G285*Regions!N8/$Q$6))-(IF($Q$6=0,0,G286*G284*Regions!N8/$Q$6))-((IF($Q$6=0,0,G285*Regions!N8/$Q$6))*'Five Year'!$D$48)-(Inputs!$D$50*$J$9*(1+Inputs!$D$48)^3/12+IF(Regions!N8&gt;0,(G289-Inputs!$D$50*$J$9*(1+Inputs!$D$48)^3)/COUNTIF(Regions!$G$8:$R$8,"&gt;0"),0))-G290/12-G291/12-G297/12-G299/12-(IF($Q$6=0,0,G285*Regions!N8/$Q$6))*Inputs!$D$52</f>
        <v>227492.568635797</v>
      </c>
      <c r="L308" s="43" t="n">
        <f aca="false">K308+(IF($Q$6=0,0,G285*Regions!O8/$Q$6))-(IF($Q$6=0,0,G286*G284*Regions!O8/$Q$6))-((IF($Q$6=0,0,G285*Regions!O8/$Q$6))*'Five Year'!$D$48)-(Inputs!$D$50*$J$9*(1+Inputs!$D$48)^3/12+IF(Regions!O8&gt;0,(G289-Inputs!$D$50*$J$9*(1+Inputs!$D$48)^3)/COUNTIF(Regions!$G$8:$R$8,"&gt;0"),0))-G290/12-G291/12-G297/12-G299/12-(IF($Q$6=0,0,G285*Regions!O8/$Q$6))*Inputs!$D$52</f>
        <v>302500.05709909</v>
      </c>
      <c r="M308" s="43" t="n">
        <f aca="false">L308+(IF($Q$6=0,0,G285*Regions!P8/$Q$6))-(IF($Q$6=0,0,G286*G284*Regions!P8/$Q$6))-((IF($Q$6=0,0,G285*Regions!P8/$Q$6))*'Five Year'!$D$48)-(Inputs!$D$50*$J$9*(1+Inputs!$D$48)^3/12+IF(Regions!P8&gt;0,(G289-Inputs!$D$50*$J$9*(1+Inputs!$D$48)^3)/COUNTIF(Regions!$G$8:$R$8,"&gt;0"),0))-G290/12-G291/12-G297/12-G299/12-(IF($Q$6=0,0,G285*Regions!P8/$Q$6))*Inputs!$D$52</f>
        <v>377507.545562383</v>
      </c>
      <c r="N308" s="43" t="n">
        <f aca="false">M308+(IF($Q$6=0,0,G285*Regions!Q8/$Q$6))-(IF($Q$6=0,0,G286*G284*Regions!Q8/$Q$6))-((IF($Q$6=0,0,G285*Regions!Q8/$Q$6))*'Five Year'!$D$48)-(Inputs!$D$50*$J$9*(1+Inputs!$D$48)^3/12+IF(Regions!Q8&gt;0,(G289-Inputs!$D$50*$J$9*(1+Inputs!$D$48)^3)/COUNTIF(Regions!$G$8:$R$8,"&gt;0"),0))-G290/12-G291/12-G297/12-G299/12-(IF($Q$6=0,0,G285*Regions!Q8/$Q$6))*Inputs!$D$52</f>
        <v>452515.034025677</v>
      </c>
      <c r="O308" s="43" t="n">
        <f aca="false">N308+(IF($Q$6=0,0,G285*Regions!R8/$Q$6))-(IF($Q$6=0,0,G286*G284*Regions!R8/$Q$6))-((IF($Q$6=0,0,G285*Regions!R8/$Q$6))*'Five Year'!$D$48)-(Inputs!$D$50*$J$9*(1+Inputs!$D$48)^3/12+IF(Regions!R8&gt;0,(G289-Inputs!$D$50*$J$9*(1+Inputs!$D$48)^3)/COUNTIF(Regions!$G$8:$R$8,"&gt;0"),0))-G290/12-G291/12-G297/12-G299/12-(IF($Q$6=0,0,G285*Regions!R8/$Q$6))*Inputs!$D$52</f>
        <v>527522.52248897</v>
      </c>
      <c r="Q308" s="43" t="n">
        <f aca="false">O308</f>
        <v>527522.52248897</v>
      </c>
      <c r="R308" s="43" t="n">
        <f aca="false">MIN(D308:O308)</f>
        <v>-222552.362143963</v>
      </c>
    </row>
    <row r="309" customFormat="false" ht="15" hidden="false" customHeight="true" outlineLevel="0" collapsed="false">
      <c r="B309" s="38" t="s">
        <v>184</v>
      </c>
      <c r="D309" s="43" t="n">
        <f aca="false">$Q308+(IF($Q$6=0,0,H285*Regions!G8/$Q$6))-(IF($Q$6=0,0,H286*H284*Regions!G8/$Q$6))-((IF($Q$6=0,0,H285*Regions!G8/$Q$6))*'Five Year'!$D$48)-(Inputs!$D$50*$J$9*(1+Inputs!$D$48)^4/12+IF(Regions!G8&gt;0,(H289-Inputs!$D$50*$J$9*(1+Inputs!$D$48)^4)/COUNTIF(Regions!$G$8:$R$8,"&gt;0"),0))-H290/12-H291/12-H297/12-H299/12-(IF($Q$6=0,0,H285*Regions!G8/$Q$6))*Inputs!$D$52</f>
        <v>433071.561046783</v>
      </c>
      <c r="E309" s="43" t="n">
        <f aca="false">D309+(IF($Q$6=0,0,H285*Regions!H8/$Q$6))-(IF($Q$6=0,0,H286*H284*Regions!H8/$Q$6))-((IF($Q$6=0,0,H285*Regions!H8/$Q$6))*'Five Year'!$D$48)-(Inputs!$D$50*$J$9*(1+Inputs!$D$48)^4/12+IF(Regions!H8&gt;0,(H289-Inputs!$D$50*$J$9*(1+Inputs!$D$48)^4)/COUNTIF(Regions!$G$8:$R$8,"&gt;0"),0))-H290/12-H291/12-H297/12-H299/12-(IF($Q$6=0,0,H285*Regions!H8/$Q$6))*Inputs!$D$52</f>
        <v>338620.599604595</v>
      </c>
      <c r="F309" s="43" t="n">
        <f aca="false">E309+(IF($Q$6=0,0,H285*Regions!I8/$Q$6))-(IF($Q$6=0,0,H286*H284*Regions!I8/$Q$6))-((IF($Q$6=0,0,H285*Regions!I8/$Q$6))*'Five Year'!$D$48)-(Inputs!$D$50*$J$9*(1+Inputs!$D$48)^4/12+IF(Regions!I8&gt;0,(H289-Inputs!$D$50*$J$9*(1+Inputs!$D$48)^4)/COUNTIF(Regions!$G$8:$R$8,"&gt;0"),0))-H290/12-H291/12-H297/12-H299/12-(IF($Q$6=0,0,H285*Regions!I8/$Q$6))*Inputs!$D$52</f>
        <v>430422.595559548</v>
      </c>
      <c r="G309" s="43" t="n">
        <f aca="false">F309+(IF($Q$6=0,0,H285*Regions!J8/$Q$6))-(IF($Q$6=0,0,H286*H284*Regions!J8/$Q$6))-((IF($Q$6=0,0,H285*Regions!J8/$Q$6))*'Five Year'!$D$48)-(Inputs!$D$50*$J$9*(1+Inputs!$D$48)^4/12+IF(Regions!J8&gt;0,(H289-Inputs!$D$50*$J$9*(1+Inputs!$D$48)^4)/COUNTIF(Regions!$G$8:$R$8,"&gt;0"),0))-H290/12-H291/12-H297/12-H299/12-(IF($Q$6=0,0,H285*Regions!J8/$Q$6))*Inputs!$D$52</f>
        <v>522224.591514501</v>
      </c>
      <c r="H309" s="43" t="n">
        <f aca="false">G309+(IF($Q$6=0,0,H285*Regions!K8/$Q$6))-(IF($Q$6=0,0,H286*H284*Regions!K8/$Q$6))-((IF($Q$6=0,0,H285*Regions!K8/$Q$6))*'Five Year'!$D$48)-(Inputs!$D$50*$J$9*(1+Inputs!$D$48)^4/12+IF(Regions!K8&gt;0,(H289-Inputs!$D$50*$J$9*(1+Inputs!$D$48)^4)/COUNTIF(Regions!$G$8:$R$8,"&gt;0"),0))-H290/12-H291/12-H297/12-H299/12-(IF($Q$6=0,0,H285*Regions!K8/$Q$6))*Inputs!$D$52</f>
        <v>614026.587469454</v>
      </c>
      <c r="I309" s="43" t="n">
        <f aca="false">H309+(IF($Q$6=0,0,H285*Regions!L8/$Q$6))-(IF($Q$6=0,0,H286*H284*Regions!L8/$Q$6))-((IF($Q$6=0,0,H285*Regions!L8/$Q$6))*'Five Year'!$D$48)-(Inputs!$D$50*$J$9*(1+Inputs!$D$48)^4/12+IF(Regions!L8&gt;0,(H289-Inputs!$D$50*$J$9*(1+Inputs!$D$48)^4)/COUNTIF(Regions!$G$8:$R$8,"&gt;0"),0))-H290/12-H291/12-H297/12-H299/12-(IF($Q$6=0,0,H285*Regions!L8/$Q$6))*Inputs!$D$52</f>
        <v>705828.583424407</v>
      </c>
      <c r="J309" s="43" t="n">
        <f aca="false">I309+(IF($Q$6=0,0,H285*Regions!M8/$Q$6))-(IF($Q$6=0,0,H286*H284*Regions!M8/$Q$6))-((IF($Q$6=0,0,H285*Regions!M8/$Q$6))*'Five Year'!$D$48)-(Inputs!$D$50*$J$9*(1+Inputs!$D$48)^4/12+IF(Regions!M8&gt;0,(H289-Inputs!$D$50*$J$9*(1+Inputs!$D$48)^4)/COUNTIF(Regions!$G$8:$R$8,"&gt;0"),0))-H290/12-H291/12-H297/12-H299/12-(IF($Q$6=0,0,H285*Regions!M8/$Q$6))*Inputs!$D$52</f>
        <v>797630.57937936</v>
      </c>
      <c r="K309" s="43" t="n">
        <f aca="false">J309+(IF($Q$6=0,0,H285*Regions!N8/$Q$6))-(IF($Q$6=0,0,H286*H284*Regions!N8/$Q$6))-((IF($Q$6=0,0,H285*Regions!N8/$Q$6))*'Five Year'!$D$48)-(Inputs!$D$50*$J$9*(1+Inputs!$D$48)^4/12+IF(Regions!N8&gt;0,(H289-Inputs!$D$50*$J$9*(1+Inputs!$D$48)^4)/COUNTIF(Regions!$G$8:$R$8,"&gt;0"),0))-H290/12-H291/12-H297/12-H299/12-(IF($Q$6=0,0,H285*Regions!N8/$Q$6))*Inputs!$D$52</f>
        <v>889432.575334312</v>
      </c>
      <c r="L309" s="43" t="n">
        <f aca="false">K309+(IF($Q$6=0,0,H285*Regions!O8/$Q$6))-(IF($Q$6=0,0,H286*H284*Regions!O8/$Q$6))-((IF($Q$6=0,0,H285*Regions!O8/$Q$6))*'Five Year'!$D$48)-(Inputs!$D$50*$J$9*(1+Inputs!$D$48)^4/12+IF(Regions!O8&gt;0,(H289-Inputs!$D$50*$J$9*(1+Inputs!$D$48)^4)/COUNTIF(Regions!$G$8:$R$8,"&gt;0"),0))-H290/12-H291/12-H297/12-H299/12-(IF($Q$6=0,0,H285*Regions!O8/$Q$6))*Inputs!$D$52</f>
        <v>981234.571289265</v>
      </c>
      <c r="M309" s="43" t="n">
        <f aca="false">L309+(IF($Q$6=0,0,H285*Regions!P8/$Q$6))-(IF($Q$6=0,0,H286*H284*Regions!P8/$Q$6))-((IF($Q$6=0,0,H285*Regions!P8/$Q$6))*'Five Year'!$D$48)-(Inputs!$D$50*$J$9*(1+Inputs!$D$48)^4/12+IF(Regions!P8&gt;0,(H289-Inputs!$D$50*$J$9*(1+Inputs!$D$48)^4)/COUNTIF(Regions!$G$8:$R$8,"&gt;0"),0))-H290/12-H291/12-H297/12-H299/12-(IF($Q$6=0,0,H285*Regions!P8/$Q$6))*Inputs!$D$52</f>
        <v>1073036.56724422</v>
      </c>
      <c r="N309" s="43" t="n">
        <f aca="false">M309+(IF($Q$6=0,0,H285*Regions!Q8/$Q$6))-(IF($Q$6=0,0,H286*H284*Regions!Q8/$Q$6))-((IF($Q$6=0,0,H285*Regions!Q8/$Q$6))*'Five Year'!$D$48)-(Inputs!$D$50*$J$9*(1+Inputs!$D$48)^4/12+IF(Regions!Q8&gt;0,(H289-Inputs!$D$50*$J$9*(1+Inputs!$D$48)^4)/COUNTIF(Regions!$G$8:$R$8,"&gt;0"),0))-H290/12-H291/12-H297/12-H299/12-(IF($Q$6=0,0,H285*Regions!Q8/$Q$6))*Inputs!$D$52</f>
        <v>1164838.56319917</v>
      </c>
      <c r="O309" s="43" t="n">
        <f aca="false">N309+(IF($Q$6=0,0,H285*Regions!R8/$Q$6))-(IF($Q$6=0,0,H286*H284*Regions!R8/$Q$6))-((IF($Q$6=0,0,H285*Regions!R8/$Q$6))*'Five Year'!$D$48)-(Inputs!$D$50*$J$9*(1+Inputs!$D$48)^4/12+IF(Regions!R8&gt;0,(H289-Inputs!$D$50*$J$9*(1+Inputs!$D$48)^4)/COUNTIF(Regions!$G$8:$R$8,"&gt;0"),0))-H290/12-H291/12-H297/12-H299/12-(IF($Q$6=0,0,H285*Regions!R8/$Q$6))*Inputs!$D$52</f>
        <v>1256640.55915412</v>
      </c>
      <c r="Q309" s="43" t="n">
        <f aca="false">O309</f>
        <v>1256640.55915412</v>
      </c>
      <c r="R309" s="43" t="n">
        <f aca="false">MIN(D309:O309)</f>
        <v>338620.599604595</v>
      </c>
    </row>
    <row r="310" customFormat="false" ht="15" hidden="false" customHeight="true" outlineLevel="0" collapsed="false">
      <c r="B310" s="37" t="s">
        <v>185</v>
      </c>
      <c r="D310" s="43" t="n">
        <f aca="false">MIN(R305:R309)</f>
        <v>-900757.237654736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30"/>
    <col collapsed="false" customWidth="true" hidden="false" outlineLevel="0" max="9" min="4" style="1" width="15"/>
  </cols>
  <sheetData>
    <row r="2" customFormat="false" ht="15" hidden="false" customHeight="true" outlineLevel="0" collapsed="false">
      <c r="B2" s="37" t="s">
        <v>192</v>
      </c>
    </row>
    <row r="3" customFormat="false" ht="15" hidden="false" customHeight="true" outlineLevel="0" collapsed="false">
      <c r="B3" s="40" t="s">
        <v>193</v>
      </c>
    </row>
    <row r="5" customFormat="false" ht="15" hidden="false" customHeight="true" outlineLevel="0" collapsed="false">
      <c r="B5" s="37" t="s">
        <v>194</v>
      </c>
      <c r="D5" s="52" t="n">
        <v>5500</v>
      </c>
      <c r="E5" s="52" t="n">
        <v>6000</v>
      </c>
      <c r="F5" s="52" t="n">
        <v>6500</v>
      </c>
      <c r="G5" s="52" t="n">
        <v>7000</v>
      </c>
      <c r="H5" s="52" t="n">
        <v>7500</v>
      </c>
    </row>
    <row r="6" customFormat="false" ht="15" hidden="false" customHeight="true" outlineLevel="0" collapsed="false">
      <c r="B6" s="51" t="n">
        <v>0.3</v>
      </c>
      <c r="D6" s="43" t="n">
        <f aca="false">((Inputs!$D$16*$B6*D$5)-('Five Year'!$D$11*Inputs!$D$16*$B6)-(Inputs!$D$16*$B6*D$5)*'Five Year'!$D$48-MAX(Inputs!$D$50,Inputs!$D$51*(Inputs!$D$16*$B6*D$5))-'Five Year'!$D$15-'Five Year'!$D$16)-MAX(0,((Inputs!$D$16*$B6*D$5)-('Five Year'!$D$11*Inputs!$D$16*$B6)-(Inputs!$D$16*$B6*D$5)*'Five Year'!$D$48-MAX(Inputs!$D$50,Inputs!$D$51*(Inputs!$D$16*$B6*D$5))-'Five Year'!$D$15-'Five Year'!$D$16)-('Asset Register'!$G$25+(Inputs!$D$16*$B6*D$5)*Inputs!$D$52/10))*Inputs!$D$54-(Inputs!$D$16*$B6*D$5)*Inputs!$D$52-(Inputs!$D$16*$B6*D$5)*Inputs!$D$53</f>
        <v>218825.305156108</v>
      </c>
      <c r="E6" s="43" t="n">
        <f aca="false">((Inputs!$D$16*$B6*E$5)-('Five Year'!$D$11*Inputs!$D$16*$B6)-(Inputs!$D$16*$B6*E$5)*'Five Year'!$D$48-MAX(Inputs!$D$50,Inputs!$D$51*(Inputs!$D$16*$B6*E$5))-'Five Year'!$D$15-'Five Year'!$D$16)-MAX(0,((Inputs!$D$16*$B6*E$5)-('Five Year'!$D$11*Inputs!$D$16*$B6)-(Inputs!$D$16*$B6*E$5)*'Five Year'!$D$48-MAX(Inputs!$D$50,Inputs!$D$51*(Inputs!$D$16*$B6*E$5))-'Five Year'!$D$15-'Five Year'!$D$16)-('Asset Register'!$G$25+(Inputs!$D$16*$B6*E$5)*Inputs!$D$52/10))*Inputs!$D$54-(Inputs!$D$16*$B6*E$5)*Inputs!$D$52-(Inputs!$D$16*$B6*E$5)*Inputs!$D$53</f>
        <v>276533.305156108</v>
      </c>
      <c r="F6" s="43" t="n">
        <f aca="false">((Inputs!$D$16*$B6*F$5)-('Five Year'!$D$11*Inputs!$D$16*$B6)-(Inputs!$D$16*$B6*F$5)*'Five Year'!$D$48-MAX(Inputs!$D$50,Inputs!$D$51*(Inputs!$D$16*$B6*F$5))-'Five Year'!$D$15-'Five Year'!$D$16)-MAX(0,((Inputs!$D$16*$B6*F$5)-('Five Year'!$D$11*Inputs!$D$16*$B6)-(Inputs!$D$16*$B6*F$5)*'Five Year'!$D$48-MAX(Inputs!$D$50,Inputs!$D$51*(Inputs!$D$16*$B6*F$5))-'Five Year'!$D$15-'Five Year'!$D$16)-('Asset Register'!$G$25+(Inputs!$D$16*$B6*F$5)*Inputs!$D$52/10))*Inputs!$D$54-(Inputs!$D$16*$B6*F$5)*Inputs!$D$52-(Inputs!$D$16*$B6*F$5)*Inputs!$D$53</f>
        <v>334241.305156108</v>
      </c>
      <c r="G6" s="43" t="n">
        <f aca="false">((Inputs!$D$16*$B6*G$5)-('Five Year'!$D$11*Inputs!$D$16*$B6)-(Inputs!$D$16*$B6*G$5)*'Five Year'!$D$48-MAX(Inputs!$D$50,Inputs!$D$51*(Inputs!$D$16*$B6*G$5))-'Five Year'!$D$15-'Five Year'!$D$16)-MAX(0,((Inputs!$D$16*$B6*G$5)-('Five Year'!$D$11*Inputs!$D$16*$B6)-(Inputs!$D$16*$B6*G$5)*'Five Year'!$D$48-MAX(Inputs!$D$50,Inputs!$D$51*(Inputs!$D$16*$B6*G$5))-'Five Year'!$D$15-'Five Year'!$D$16)-('Asset Register'!$G$25+(Inputs!$D$16*$B6*G$5)*Inputs!$D$52/10))*Inputs!$D$54-(Inputs!$D$16*$B6*G$5)*Inputs!$D$52-(Inputs!$D$16*$B6*G$5)*Inputs!$D$53</f>
        <v>391949.305156108</v>
      </c>
      <c r="H6" s="43" t="n">
        <f aca="false">((Inputs!$D$16*$B6*H$5)-('Five Year'!$D$11*Inputs!$D$16*$B6)-(Inputs!$D$16*$B6*H$5)*'Five Year'!$D$48-MAX(Inputs!$D$50,Inputs!$D$51*(Inputs!$D$16*$B6*H$5))-'Five Year'!$D$15-'Five Year'!$D$16)-MAX(0,((Inputs!$D$16*$B6*H$5)-('Five Year'!$D$11*Inputs!$D$16*$B6)-(Inputs!$D$16*$B6*H$5)*'Five Year'!$D$48-MAX(Inputs!$D$50,Inputs!$D$51*(Inputs!$D$16*$B6*H$5))-'Five Year'!$D$15-'Five Year'!$D$16)-('Asset Register'!$G$25+(Inputs!$D$16*$B6*H$5)*Inputs!$D$52/10))*Inputs!$D$54-(Inputs!$D$16*$B6*H$5)*Inputs!$D$52-(Inputs!$D$16*$B6*H$5)*Inputs!$D$53</f>
        <v>449657.305156108</v>
      </c>
    </row>
    <row r="7" customFormat="false" ht="15" hidden="false" customHeight="true" outlineLevel="0" collapsed="false">
      <c r="B7" s="51" t="n">
        <v>0.35</v>
      </c>
      <c r="D7" s="43" t="n">
        <f aca="false">((Inputs!$D$16*$B7*D$5)-('Five Year'!$D$11*Inputs!$D$16*$B7)-(Inputs!$D$16*$B7*D$5)*'Five Year'!$D$48-MAX(Inputs!$D$50,Inputs!$D$51*(Inputs!$D$16*$B7*D$5))-'Five Year'!$D$15-'Five Year'!$D$16)-MAX(0,((Inputs!$D$16*$B7*D$5)-('Five Year'!$D$11*Inputs!$D$16*$B7)-(Inputs!$D$16*$B7*D$5)*'Five Year'!$D$48-MAX(Inputs!$D$50,Inputs!$D$51*(Inputs!$D$16*$B7*D$5))-'Five Year'!$D$15-'Five Year'!$D$16)-('Asset Register'!$G$25+(Inputs!$D$16*$B7*D$5)*Inputs!$D$52/10))*Inputs!$D$54-(Inputs!$D$16*$B7*D$5)*Inputs!$D$52-(Inputs!$D$16*$B7*D$5)*Inputs!$D$53</f>
        <v>292329.035653324</v>
      </c>
      <c r="E7" s="43" t="n">
        <f aca="false">((Inputs!$D$16*$B7*E$5)-('Five Year'!$D$11*Inputs!$D$16*$B7)-(Inputs!$D$16*$B7*E$5)*'Five Year'!$D$48-MAX(Inputs!$D$50,Inputs!$D$51*(Inputs!$D$16*$B7*E$5))-'Five Year'!$D$15-'Five Year'!$D$16)-MAX(0,((Inputs!$D$16*$B7*E$5)-('Five Year'!$D$11*Inputs!$D$16*$B7)-(Inputs!$D$16*$B7*E$5)*'Five Year'!$D$48-MAX(Inputs!$D$50,Inputs!$D$51*(Inputs!$D$16*$B7*E$5))-'Five Year'!$D$15-'Five Year'!$D$16)-('Asset Register'!$G$25+(Inputs!$D$16*$B7*E$5)*Inputs!$D$52/10))*Inputs!$D$54-(Inputs!$D$16*$B7*E$5)*Inputs!$D$52-(Inputs!$D$16*$B7*E$5)*Inputs!$D$53</f>
        <v>359655.035653324</v>
      </c>
      <c r="F7" s="43" t="n">
        <f aca="false">((Inputs!$D$16*$B7*F$5)-('Five Year'!$D$11*Inputs!$D$16*$B7)-(Inputs!$D$16*$B7*F$5)*'Five Year'!$D$48-MAX(Inputs!$D$50,Inputs!$D$51*(Inputs!$D$16*$B7*F$5))-'Five Year'!$D$15-'Five Year'!$D$16)-MAX(0,((Inputs!$D$16*$B7*F$5)-('Five Year'!$D$11*Inputs!$D$16*$B7)-(Inputs!$D$16*$B7*F$5)*'Five Year'!$D$48-MAX(Inputs!$D$50,Inputs!$D$51*(Inputs!$D$16*$B7*F$5))-'Five Year'!$D$15-'Five Year'!$D$16)-('Asset Register'!$G$25+(Inputs!$D$16*$B7*F$5)*Inputs!$D$52/10))*Inputs!$D$54-(Inputs!$D$16*$B7*F$5)*Inputs!$D$52-(Inputs!$D$16*$B7*F$5)*Inputs!$D$53</f>
        <v>426981.035653324</v>
      </c>
      <c r="G7" s="43" t="n">
        <f aca="false">((Inputs!$D$16*$B7*G$5)-('Five Year'!$D$11*Inputs!$D$16*$B7)-(Inputs!$D$16*$B7*G$5)*'Five Year'!$D$48-MAX(Inputs!$D$50,Inputs!$D$51*(Inputs!$D$16*$B7*G$5))-'Five Year'!$D$15-'Five Year'!$D$16)-MAX(0,((Inputs!$D$16*$B7*G$5)-('Five Year'!$D$11*Inputs!$D$16*$B7)-(Inputs!$D$16*$B7*G$5)*'Five Year'!$D$48-MAX(Inputs!$D$50,Inputs!$D$51*(Inputs!$D$16*$B7*G$5))-'Five Year'!$D$15-'Five Year'!$D$16)-('Asset Register'!$G$25+(Inputs!$D$16*$B7*G$5)*Inputs!$D$52/10))*Inputs!$D$54-(Inputs!$D$16*$B7*G$5)*Inputs!$D$52-(Inputs!$D$16*$B7*G$5)*Inputs!$D$53</f>
        <v>494307.035653324</v>
      </c>
      <c r="H7" s="43" t="n">
        <f aca="false">((Inputs!$D$16*$B7*H$5)-('Five Year'!$D$11*Inputs!$D$16*$B7)-(Inputs!$D$16*$B7*H$5)*'Five Year'!$D$48-MAX(Inputs!$D$50,Inputs!$D$51*(Inputs!$D$16*$B7*H$5))-'Five Year'!$D$15-'Five Year'!$D$16)-MAX(0,((Inputs!$D$16*$B7*H$5)-('Five Year'!$D$11*Inputs!$D$16*$B7)-(Inputs!$D$16*$B7*H$5)*'Five Year'!$D$48-MAX(Inputs!$D$50,Inputs!$D$51*(Inputs!$D$16*$B7*H$5))-'Five Year'!$D$15-'Five Year'!$D$16)-('Asset Register'!$G$25+(Inputs!$D$16*$B7*H$5)*Inputs!$D$52/10))*Inputs!$D$54-(Inputs!$D$16*$B7*H$5)*Inputs!$D$52-(Inputs!$D$16*$B7*H$5)*Inputs!$D$53</f>
        <v>561633.035653324</v>
      </c>
    </row>
    <row r="8" customFormat="false" ht="15" hidden="false" customHeight="true" outlineLevel="0" collapsed="false">
      <c r="B8" s="51" t="n">
        <v>0.4</v>
      </c>
      <c r="D8" s="43" t="n">
        <f aca="false">((Inputs!$D$16*$B8*D$5)-('Five Year'!$D$11*Inputs!$D$16*$B8)-(Inputs!$D$16*$B8*D$5)*'Five Year'!$D$48-MAX(Inputs!$D$50,Inputs!$D$51*(Inputs!$D$16*$B8*D$5))-'Five Year'!$D$15-'Five Year'!$D$16)-MAX(0,((Inputs!$D$16*$B8*D$5)-('Five Year'!$D$11*Inputs!$D$16*$B8)-(Inputs!$D$16*$B8*D$5)*'Five Year'!$D$48-MAX(Inputs!$D$50,Inputs!$D$51*(Inputs!$D$16*$B8*D$5))-'Five Year'!$D$15-'Five Year'!$D$16)-('Asset Register'!$G$25+(Inputs!$D$16*$B8*D$5)*Inputs!$D$52/10))*Inputs!$D$54-(Inputs!$D$16*$B8*D$5)*Inputs!$D$52-(Inputs!$D$16*$B8*D$5)*Inputs!$D$53</f>
        <v>365832.766150541</v>
      </c>
      <c r="E8" s="43" t="n">
        <f aca="false">((Inputs!$D$16*$B8*E$5)-('Five Year'!$D$11*Inputs!$D$16*$B8)-(Inputs!$D$16*$B8*E$5)*'Five Year'!$D$48-MAX(Inputs!$D$50,Inputs!$D$51*(Inputs!$D$16*$B8*E$5))-'Five Year'!$D$15-'Five Year'!$D$16)-MAX(0,((Inputs!$D$16*$B8*E$5)-('Five Year'!$D$11*Inputs!$D$16*$B8)-(Inputs!$D$16*$B8*E$5)*'Five Year'!$D$48-MAX(Inputs!$D$50,Inputs!$D$51*(Inputs!$D$16*$B8*E$5))-'Five Year'!$D$15-'Five Year'!$D$16)-('Asset Register'!$G$25+(Inputs!$D$16*$B8*E$5)*Inputs!$D$52/10))*Inputs!$D$54-(Inputs!$D$16*$B8*E$5)*Inputs!$D$52-(Inputs!$D$16*$B8*E$5)*Inputs!$D$53</f>
        <v>442776.766150541</v>
      </c>
      <c r="F8" s="43" t="n">
        <f aca="false">((Inputs!$D$16*$B8*F$5)-('Five Year'!$D$11*Inputs!$D$16*$B8)-(Inputs!$D$16*$B8*F$5)*'Five Year'!$D$48-MAX(Inputs!$D$50,Inputs!$D$51*(Inputs!$D$16*$B8*F$5))-'Five Year'!$D$15-'Five Year'!$D$16)-MAX(0,((Inputs!$D$16*$B8*F$5)-('Five Year'!$D$11*Inputs!$D$16*$B8)-(Inputs!$D$16*$B8*F$5)*'Five Year'!$D$48-MAX(Inputs!$D$50,Inputs!$D$51*(Inputs!$D$16*$B8*F$5))-'Five Year'!$D$15-'Five Year'!$D$16)-('Asset Register'!$G$25+(Inputs!$D$16*$B8*F$5)*Inputs!$D$52/10))*Inputs!$D$54-(Inputs!$D$16*$B8*F$5)*Inputs!$D$52-(Inputs!$D$16*$B8*F$5)*Inputs!$D$53</f>
        <v>519720.766150541</v>
      </c>
      <c r="G8" s="43" t="n">
        <f aca="false">((Inputs!$D$16*$B8*G$5)-('Five Year'!$D$11*Inputs!$D$16*$B8)-(Inputs!$D$16*$B8*G$5)*'Five Year'!$D$48-MAX(Inputs!$D$50,Inputs!$D$51*(Inputs!$D$16*$B8*G$5))-'Five Year'!$D$15-'Five Year'!$D$16)-MAX(0,((Inputs!$D$16*$B8*G$5)-('Five Year'!$D$11*Inputs!$D$16*$B8)-(Inputs!$D$16*$B8*G$5)*'Five Year'!$D$48-MAX(Inputs!$D$50,Inputs!$D$51*(Inputs!$D$16*$B8*G$5))-'Five Year'!$D$15-'Five Year'!$D$16)-('Asset Register'!$G$25+(Inputs!$D$16*$B8*G$5)*Inputs!$D$52/10))*Inputs!$D$54-(Inputs!$D$16*$B8*G$5)*Inputs!$D$52-(Inputs!$D$16*$B8*G$5)*Inputs!$D$53</f>
        <v>596664.766150541</v>
      </c>
      <c r="H8" s="43" t="n">
        <f aca="false">((Inputs!$D$16*$B8*H$5)-('Five Year'!$D$11*Inputs!$D$16*$B8)-(Inputs!$D$16*$B8*H$5)*'Five Year'!$D$48-MAX(Inputs!$D$50,Inputs!$D$51*(Inputs!$D$16*$B8*H$5))-'Five Year'!$D$15-'Five Year'!$D$16)-MAX(0,((Inputs!$D$16*$B8*H$5)-('Five Year'!$D$11*Inputs!$D$16*$B8)-(Inputs!$D$16*$B8*H$5)*'Five Year'!$D$48-MAX(Inputs!$D$50,Inputs!$D$51*(Inputs!$D$16*$B8*H$5))-'Five Year'!$D$15-'Five Year'!$D$16)-('Asset Register'!$G$25+(Inputs!$D$16*$B8*H$5)*Inputs!$D$52/10))*Inputs!$D$54-(Inputs!$D$16*$B8*H$5)*Inputs!$D$52-(Inputs!$D$16*$B8*H$5)*Inputs!$D$53</f>
        <v>673608.766150541</v>
      </c>
    </row>
    <row r="9" customFormat="false" ht="15" hidden="false" customHeight="true" outlineLevel="0" collapsed="false">
      <c r="B9" s="51" t="n">
        <v>0.45</v>
      </c>
      <c r="D9" s="43" t="n">
        <f aca="false">((Inputs!$D$16*$B9*D$5)-('Five Year'!$D$11*Inputs!$D$16*$B9)-(Inputs!$D$16*$B9*D$5)*'Five Year'!$D$48-MAX(Inputs!$D$50,Inputs!$D$51*(Inputs!$D$16*$B9*D$5))-'Five Year'!$D$15-'Five Year'!$D$16)-MAX(0,((Inputs!$D$16*$B9*D$5)-('Five Year'!$D$11*Inputs!$D$16*$B9)-(Inputs!$D$16*$B9*D$5)*'Five Year'!$D$48-MAX(Inputs!$D$50,Inputs!$D$51*(Inputs!$D$16*$B9*D$5))-'Five Year'!$D$15-'Five Year'!$D$16)-('Asset Register'!$G$25+(Inputs!$D$16*$B9*D$5)*Inputs!$D$52/10))*Inputs!$D$54-(Inputs!$D$16*$B9*D$5)*Inputs!$D$52-(Inputs!$D$16*$B9*D$5)*Inputs!$D$53</f>
        <v>439336.496647758</v>
      </c>
      <c r="E9" s="43" t="n">
        <f aca="false">((Inputs!$D$16*$B9*E$5)-('Five Year'!$D$11*Inputs!$D$16*$B9)-(Inputs!$D$16*$B9*E$5)*'Five Year'!$D$48-MAX(Inputs!$D$50,Inputs!$D$51*(Inputs!$D$16*$B9*E$5))-'Five Year'!$D$15-'Five Year'!$D$16)-MAX(0,((Inputs!$D$16*$B9*E$5)-('Five Year'!$D$11*Inputs!$D$16*$B9)-(Inputs!$D$16*$B9*E$5)*'Five Year'!$D$48-MAX(Inputs!$D$50,Inputs!$D$51*(Inputs!$D$16*$B9*E$5))-'Five Year'!$D$15-'Five Year'!$D$16)-('Asset Register'!$G$25+(Inputs!$D$16*$B9*E$5)*Inputs!$D$52/10))*Inputs!$D$54-(Inputs!$D$16*$B9*E$5)*Inputs!$D$52-(Inputs!$D$16*$B9*E$5)*Inputs!$D$53</f>
        <v>525898.496647758</v>
      </c>
      <c r="F9" s="43" t="n">
        <f aca="false">((Inputs!$D$16*$B9*F$5)-('Five Year'!$D$11*Inputs!$D$16*$B9)-(Inputs!$D$16*$B9*F$5)*'Five Year'!$D$48-MAX(Inputs!$D$50,Inputs!$D$51*(Inputs!$D$16*$B9*F$5))-'Five Year'!$D$15-'Five Year'!$D$16)-MAX(0,((Inputs!$D$16*$B9*F$5)-('Five Year'!$D$11*Inputs!$D$16*$B9)-(Inputs!$D$16*$B9*F$5)*'Five Year'!$D$48-MAX(Inputs!$D$50,Inputs!$D$51*(Inputs!$D$16*$B9*F$5))-'Five Year'!$D$15-'Five Year'!$D$16)-('Asset Register'!$G$25+(Inputs!$D$16*$B9*F$5)*Inputs!$D$52/10))*Inputs!$D$54-(Inputs!$D$16*$B9*F$5)*Inputs!$D$52-(Inputs!$D$16*$B9*F$5)*Inputs!$D$53</f>
        <v>612460.496647758</v>
      </c>
      <c r="G9" s="43" t="n">
        <f aca="false">((Inputs!$D$16*$B9*G$5)-('Five Year'!$D$11*Inputs!$D$16*$B9)-(Inputs!$D$16*$B9*G$5)*'Five Year'!$D$48-MAX(Inputs!$D$50,Inputs!$D$51*(Inputs!$D$16*$B9*G$5))-'Five Year'!$D$15-'Five Year'!$D$16)-MAX(0,((Inputs!$D$16*$B9*G$5)-('Five Year'!$D$11*Inputs!$D$16*$B9)-(Inputs!$D$16*$B9*G$5)*'Five Year'!$D$48-MAX(Inputs!$D$50,Inputs!$D$51*(Inputs!$D$16*$B9*G$5))-'Five Year'!$D$15-'Five Year'!$D$16)-('Asset Register'!$G$25+(Inputs!$D$16*$B9*G$5)*Inputs!$D$52/10))*Inputs!$D$54-(Inputs!$D$16*$B9*G$5)*Inputs!$D$52-(Inputs!$D$16*$B9*G$5)*Inputs!$D$53</f>
        <v>699022.496647758</v>
      </c>
      <c r="H9" s="43" t="n">
        <f aca="false">((Inputs!$D$16*$B9*H$5)-('Five Year'!$D$11*Inputs!$D$16*$B9)-(Inputs!$D$16*$B9*H$5)*'Five Year'!$D$48-MAX(Inputs!$D$50,Inputs!$D$51*(Inputs!$D$16*$B9*H$5))-'Five Year'!$D$15-'Five Year'!$D$16)-MAX(0,((Inputs!$D$16*$B9*H$5)-('Five Year'!$D$11*Inputs!$D$16*$B9)-(Inputs!$D$16*$B9*H$5)*'Five Year'!$D$48-MAX(Inputs!$D$50,Inputs!$D$51*(Inputs!$D$16*$B9*H$5))-'Five Year'!$D$15-'Five Year'!$D$16)-('Asset Register'!$G$25+(Inputs!$D$16*$B9*H$5)*Inputs!$D$52/10))*Inputs!$D$54-(Inputs!$D$16*$B9*H$5)*Inputs!$D$52-(Inputs!$D$16*$B9*H$5)*Inputs!$D$53</f>
        <v>785584.496647758</v>
      </c>
    </row>
    <row r="10" customFormat="false" ht="15" hidden="false" customHeight="true" outlineLevel="0" collapsed="false">
      <c r="B10" s="51" t="n">
        <v>0.5</v>
      </c>
      <c r="D10" s="43" t="n">
        <f aca="false">((Inputs!$D$16*$B10*D$5)-('Five Year'!$D$11*Inputs!$D$16*$B10)-(Inputs!$D$16*$B10*D$5)*'Five Year'!$D$48-MAX(Inputs!$D$50,Inputs!$D$51*(Inputs!$D$16*$B10*D$5))-'Five Year'!$D$15-'Five Year'!$D$16)-MAX(0,((Inputs!$D$16*$B10*D$5)-('Five Year'!$D$11*Inputs!$D$16*$B10)-(Inputs!$D$16*$B10*D$5)*'Five Year'!$D$48-MAX(Inputs!$D$50,Inputs!$D$51*(Inputs!$D$16*$B10*D$5))-'Five Year'!$D$15-'Five Year'!$D$16)-('Asset Register'!$G$25+(Inputs!$D$16*$B10*D$5)*Inputs!$D$52/10))*Inputs!$D$54-(Inputs!$D$16*$B10*D$5)*Inputs!$D$52-(Inputs!$D$16*$B10*D$5)*Inputs!$D$53</f>
        <v>512840.227144975</v>
      </c>
      <c r="E10" s="43" t="n">
        <f aca="false">((Inputs!$D$16*$B10*E$5)-('Five Year'!$D$11*Inputs!$D$16*$B10)-(Inputs!$D$16*$B10*E$5)*'Five Year'!$D$48-MAX(Inputs!$D$50,Inputs!$D$51*(Inputs!$D$16*$B10*E$5))-'Five Year'!$D$15-'Five Year'!$D$16)-MAX(0,((Inputs!$D$16*$B10*E$5)-('Five Year'!$D$11*Inputs!$D$16*$B10)-(Inputs!$D$16*$B10*E$5)*'Five Year'!$D$48-MAX(Inputs!$D$50,Inputs!$D$51*(Inputs!$D$16*$B10*E$5))-'Five Year'!$D$15-'Five Year'!$D$16)-('Asset Register'!$G$25+(Inputs!$D$16*$B10*E$5)*Inputs!$D$52/10))*Inputs!$D$54-(Inputs!$D$16*$B10*E$5)*Inputs!$D$52-(Inputs!$D$16*$B10*E$5)*Inputs!$D$53</f>
        <v>609020.227144975</v>
      </c>
      <c r="F10" s="43" t="n">
        <f aca="false">((Inputs!$D$16*$B10*F$5)-('Five Year'!$D$11*Inputs!$D$16*$B10)-(Inputs!$D$16*$B10*F$5)*'Five Year'!$D$48-MAX(Inputs!$D$50,Inputs!$D$51*(Inputs!$D$16*$B10*F$5))-'Five Year'!$D$15-'Five Year'!$D$16)-MAX(0,((Inputs!$D$16*$B10*F$5)-('Five Year'!$D$11*Inputs!$D$16*$B10)-(Inputs!$D$16*$B10*F$5)*'Five Year'!$D$48-MAX(Inputs!$D$50,Inputs!$D$51*(Inputs!$D$16*$B10*F$5))-'Five Year'!$D$15-'Five Year'!$D$16)-('Asset Register'!$G$25+(Inputs!$D$16*$B10*F$5)*Inputs!$D$52/10))*Inputs!$D$54-(Inputs!$D$16*$B10*F$5)*Inputs!$D$52-(Inputs!$D$16*$B10*F$5)*Inputs!$D$53</f>
        <v>705200.227144975</v>
      </c>
      <c r="G10" s="43" t="n">
        <f aca="false">((Inputs!$D$16*$B10*G$5)-('Five Year'!$D$11*Inputs!$D$16*$B10)-(Inputs!$D$16*$B10*G$5)*'Five Year'!$D$48-MAX(Inputs!$D$50,Inputs!$D$51*(Inputs!$D$16*$B10*G$5))-'Five Year'!$D$15-'Five Year'!$D$16)-MAX(0,((Inputs!$D$16*$B10*G$5)-('Five Year'!$D$11*Inputs!$D$16*$B10)-(Inputs!$D$16*$B10*G$5)*'Five Year'!$D$48-MAX(Inputs!$D$50,Inputs!$D$51*(Inputs!$D$16*$B10*G$5))-'Five Year'!$D$15-'Five Year'!$D$16)-('Asset Register'!$G$25+(Inputs!$D$16*$B10*G$5)*Inputs!$D$52/10))*Inputs!$D$54-(Inputs!$D$16*$B10*G$5)*Inputs!$D$52-(Inputs!$D$16*$B10*G$5)*Inputs!$D$53</f>
        <v>801380.227144975</v>
      </c>
      <c r="H10" s="43" t="n">
        <f aca="false">((Inputs!$D$16*$B10*H$5)-('Five Year'!$D$11*Inputs!$D$16*$B10)-(Inputs!$D$16*$B10*H$5)*'Five Year'!$D$48-MAX(Inputs!$D$50,Inputs!$D$51*(Inputs!$D$16*$B10*H$5))-'Five Year'!$D$15-'Five Year'!$D$16)-MAX(0,((Inputs!$D$16*$B10*H$5)-('Five Year'!$D$11*Inputs!$D$16*$B10)-(Inputs!$D$16*$B10*H$5)*'Five Year'!$D$48-MAX(Inputs!$D$50,Inputs!$D$51*(Inputs!$D$16*$B10*H$5))-'Five Year'!$D$15-'Five Year'!$D$16)-('Asset Register'!$G$25+(Inputs!$D$16*$B10*H$5)*Inputs!$D$52/10))*Inputs!$D$54-(Inputs!$D$16*$B10*H$5)*Inputs!$D$52-(Inputs!$D$16*$B10*H$5)*Inputs!$D$53</f>
        <v>897560.227144975</v>
      </c>
    </row>
    <row r="11" customFormat="false" ht="15" hidden="false" customHeight="true" outlineLevel="0" collapsed="false">
      <c r="B11" s="51" t="n">
        <v>0.55</v>
      </c>
      <c r="D11" s="43" t="n">
        <f aca="false">((Inputs!$D$16*$B11*D$5)-('Five Year'!$D$11*Inputs!$D$16*$B11)-(Inputs!$D$16*$B11*D$5)*'Five Year'!$D$48-MAX(Inputs!$D$50,Inputs!$D$51*(Inputs!$D$16*$B11*D$5))-'Five Year'!$D$15-'Five Year'!$D$16)-MAX(0,((Inputs!$D$16*$B11*D$5)-('Five Year'!$D$11*Inputs!$D$16*$B11)-(Inputs!$D$16*$B11*D$5)*'Five Year'!$D$48-MAX(Inputs!$D$50,Inputs!$D$51*(Inputs!$D$16*$B11*D$5))-'Five Year'!$D$15-'Five Year'!$D$16)-('Asset Register'!$G$25+(Inputs!$D$16*$B11*D$5)*Inputs!$D$52/10))*Inputs!$D$54-(Inputs!$D$16*$B11*D$5)*Inputs!$D$52-(Inputs!$D$16*$B11*D$5)*Inputs!$D$53</f>
        <v>586343.957642192</v>
      </c>
      <c r="E11" s="43" t="n">
        <f aca="false">((Inputs!$D$16*$B11*E$5)-('Five Year'!$D$11*Inputs!$D$16*$B11)-(Inputs!$D$16*$B11*E$5)*'Five Year'!$D$48-MAX(Inputs!$D$50,Inputs!$D$51*(Inputs!$D$16*$B11*E$5))-'Five Year'!$D$15-'Five Year'!$D$16)-MAX(0,((Inputs!$D$16*$B11*E$5)-('Five Year'!$D$11*Inputs!$D$16*$B11)-(Inputs!$D$16*$B11*E$5)*'Five Year'!$D$48-MAX(Inputs!$D$50,Inputs!$D$51*(Inputs!$D$16*$B11*E$5))-'Five Year'!$D$15-'Five Year'!$D$16)-('Asset Register'!$G$25+(Inputs!$D$16*$B11*E$5)*Inputs!$D$52/10))*Inputs!$D$54-(Inputs!$D$16*$B11*E$5)*Inputs!$D$52-(Inputs!$D$16*$B11*E$5)*Inputs!$D$53</f>
        <v>692141.957642192</v>
      </c>
      <c r="F11" s="43" t="n">
        <f aca="false">((Inputs!$D$16*$B11*F$5)-('Five Year'!$D$11*Inputs!$D$16*$B11)-(Inputs!$D$16*$B11*F$5)*'Five Year'!$D$48-MAX(Inputs!$D$50,Inputs!$D$51*(Inputs!$D$16*$B11*F$5))-'Five Year'!$D$15-'Five Year'!$D$16)-MAX(0,((Inputs!$D$16*$B11*F$5)-('Five Year'!$D$11*Inputs!$D$16*$B11)-(Inputs!$D$16*$B11*F$5)*'Five Year'!$D$48-MAX(Inputs!$D$50,Inputs!$D$51*(Inputs!$D$16*$B11*F$5))-'Five Year'!$D$15-'Five Year'!$D$16)-('Asset Register'!$G$25+(Inputs!$D$16*$B11*F$5)*Inputs!$D$52/10))*Inputs!$D$54-(Inputs!$D$16*$B11*F$5)*Inputs!$D$52-(Inputs!$D$16*$B11*F$5)*Inputs!$D$53</f>
        <v>797939.957642192</v>
      </c>
      <c r="G11" s="43" t="n">
        <f aca="false">((Inputs!$D$16*$B11*G$5)-('Five Year'!$D$11*Inputs!$D$16*$B11)-(Inputs!$D$16*$B11*G$5)*'Five Year'!$D$48-MAX(Inputs!$D$50,Inputs!$D$51*(Inputs!$D$16*$B11*G$5))-'Five Year'!$D$15-'Five Year'!$D$16)-MAX(0,((Inputs!$D$16*$B11*G$5)-('Five Year'!$D$11*Inputs!$D$16*$B11)-(Inputs!$D$16*$B11*G$5)*'Five Year'!$D$48-MAX(Inputs!$D$50,Inputs!$D$51*(Inputs!$D$16*$B11*G$5))-'Five Year'!$D$15-'Five Year'!$D$16)-('Asset Register'!$G$25+(Inputs!$D$16*$B11*G$5)*Inputs!$D$52/10))*Inputs!$D$54-(Inputs!$D$16*$B11*G$5)*Inputs!$D$52-(Inputs!$D$16*$B11*G$5)*Inputs!$D$53</f>
        <v>903737.957642192</v>
      </c>
      <c r="H11" s="43" t="n">
        <f aca="false">((Inputs!$D$16*$B11*H$5)-('Five Year'!$D$11*Inputs!$D$16*$B11)-(Inputs!$D$16*$B11*H$5)*'Five Year'!$D$48-MAX(Inputs!$D$50,Inputs!$D$51*(Inputs!$D$16*$B11*H$5))-'Five Year'!$D$15-'Five Year'!$D$16)-MAX(0,((Inputs!$D$16*$B11*H$5)-('Five Year'!$D$11*Inputs!$D$16*$B11)-(Inputs!$D$16*$B11*H$5)*'Five Year'!$D$48-MAX(Inputs!$D$50,Inputs!$D$51*(Inputs!$D$16*$B11*H$5))-'Five Year'!$D$15-'Five Year'!$D$16)-('Asset Register'!$G$25+(Inputs!$D$16*$B11*H$5)*Inputs!$D$52/10))*Inputs!$D$54-(Inputs!$D$16*$B11*H$5)*Inputs!$D$52-(Inputs!$D$16*$B11*H$5)*Inputs!$D$53</f>
        <v>1009535.95764219</v>
      </c>
    </row>
    <row r="12" customFormat="false" ht="15" hidden="false" customHeight="true" outlineLevel="0" collapsed="false">
      <c r="B12" s="51" t="n">
        <v>0.6</v>
      </c>
      <c r="D12" s="43" t="n">
        <f aca="false">((Inputs!$D$16*$B12*D$5)-('Five Year'!$D$11*Inputs!$D$16*$B12)-(Inputs!$D$16*$B12*D$5)*'Five Year'!$D$48-MAX(Inputs!$D$50,Inputs!$D$51*(Inputs!$D$16*$B12*D$5))-'Five Year'!$D$15-'Five Year'!$D$16)-MAX(0,((Inputs!$D$16*$B12*D$5)-('Five Year'!$D$11*Inputs!$D$16*$B12)-(Inputs!$D$16*$B12*D$5)*'Five Year'!$D$48-MAX(Inputs!$D$50,Inputs!$D$51*(Inputs!$D$16*$B12*D$5))-'Five Year'!$D$15-'Five Year'!$D$16)-('Asset Register'!$G$25+(Inputs!$D$16*$B12*D$5)*Inputs!$D$52/10))*Inputs!$D$54-(Inputs!$D$16*$B12*D$5)*Inputs!$D$52-(Inputs!$D$16*$B12*D$5)*Inputs!$D$53</f>
        <v>659847.688139408</v>
      </c>
      <c r="E12" s="43" t="n">
        <f aca="false">((Inputs!$D$16*$B12*E$5)-('Five Year'!$D$11*Inputs!$D$16*$B12)-(Inputs!$D$16*$B12*E$5)*'Five Year'!$D$48-MAX(Inputs!$D$50,Inputs!$D$51*(Inputs!$D$16*$B12*E$5))-'Five Year'!$D$15-'Five Year'!$D$16)-MAX(0,((Inputs!$D$16*$B12*E$5)-('Five Year'!$D$11*Inputs!$D$16*$B12)-(Inputs!$D$16*$B12*E$5)*'Five Year'!$D$48-MAX(Inputs!$D$50,Inputs!$D$51*(Inputs!$D$16*$B12*E$5))-'Five Year'!$D$15-'Five Year'!$D$16)-('Asset Register'!$G$25+(Inputs!$D$16*$B12*E$5)*Inputs!$D$52/10))*Inputs!$D$54-(Inputs!$D$16*$B12*E$5)*Inputs!$D$52-(Inputs!$D$16*$B12*E$5)*Inputs!$D$53</f>
        <v>775263.688139408</v>
      </c>
      <c r="F12" s="43" t="n">
        <f aca="false">((Inputs!$D$16*$B12*F$5)-('Five Year'!$D$11*Inputs!$D$16*$B12)-(Inputs!$D$16*$B12*F$5)*'Five Year'!$D$48-MAX(Inputs!$D$50,Inputs!$D$51*(Inputs!$D$16*$B12*F$5))-'Five Year'!$D$15-'Five Year'!$D$16)-MAX(0,((Inputs!$D$16*$B12*F$5)-('Five Year'!$D$11*Inputs!$D$16*$B12)-(Inputs!$D$16*$B12*F$5)*'Five Year'!$D$48-MAX(Inputs!$D$50,Inputs!$D$51*(Inputs!$D$16*$B12*F$5))-'Five Year'!$D$15-'Five Year'!$D$16)-('Asset Register'!$G$25+(Inputs!$D$16*$B12*F$5)*Inputs!$D$52/10))*Inputs!$D$54-(Inputs!$D$16*$B12*F$5)*Inputs!$D$52-(Inputs!$D$16*$B12*F$5)*Inputs!$D$53</f>
        <v>890679.688139408</v>
      </c>
      <c r="G12" s="43" t="n">
        <f aca="false">((Inputs!$D$16*$B12*G$5)-('Five Year'!$D$11*Inputs!$D$16*$B12)-(Inputs!$D$16*$B12*G$5)*'Five Year'!$D$48-MAX(Inputs!$D$50,Inputs!$D$51*(Inputs!$D$16*$B12*G$5))-'Five Year'!$D$15-'Five Year'!$D$16)-MAX(0,((Inputs!$D$16*$B12*G$5)-('Five Year'!$D$11*Inputs!$D$16*$B12)-(Inputs!$D$16*$B12*G$5)*'Five Year'!$D$48-MAX(Inputs!$D$50,Inputs!$D$51*(Inputs!$D$16*$B12*G$5))-'Five Year'!$D$15-'Five Year'!$D$16)-('Asset Register'!$G$25+(Inputs!$D$16*$B12*G$5)*Inputs!$D$52/10))*Inputs!$D$54-(Inputs!$D$16*$B12*G$5)*Inputs!$D$52-(Inputs!$D$16*$B12*G$5)*Inputs!$D$53</f>
        <v>1006095.68813941</v>
      </c>
      <c r="H12" s="43" t="n">
        <f aca="false">((Inputs!$D$16*$B12*H$5)-('Five Year'!$D$11*Inputs!$D$16*$B12)-(Inputs!$D$16*$B12*H$5)*'Five Year'!$D$48-MAX(Inputs!$D$50,Inputs!$D$51*(Inputs!$D$16*$B12*H$5))-'Five Year'!$D$15-'Five Year'!$D$16)-MAX(0,((Inputs!$D$16*$B12*H$5)-('Five Year'!$D$11*Inputs!$D$16*$B12)-(Inputs!$D$16*$B12*H$5)*'Five Year'!$D$48-MAX(Inputs!$D$50,Inputs!$D$51*(Inputs!$D$16*$B12*H$5))-'Five Year'!$D$15-'Five Year'!$D$16)-('Asset Register'!$G$25+(Inputs!$D$16*$B12*H$5)*Inputs!$D$52/10))*Inputs!$D$54-(Inputs!$D$16*$B12*H$5)*Inputs!$D$52-(Inputs!$D$16*$B12*H$5)*Inputs!$D$53</f>
        <v>1121511.68813941</v>
      </c>
    </row>
    <row r="15" customFormat="false" ht="15" hidden="false" customHeight="true" outlineLevel="0" collapsed="false">
      <c r="B15" s="37" t="s">
        <v>195</v>
      </c>
    </row>
    <row r="16" customFormat="false" ht="15" hidden="false" customHeight="true" outlineLevel="0" collapsed="false">
      <c r="D16" s="46" t="n">
        <f aca="false">('Five Year'!$D$15+'Five Year'!$D$16)/(Inputs!$D$16*(D$5*(1-'Five Year'!$D$48-Inputs!$D$51)-'Five Year'!$D$11))</f>
        <v>0.170971878199651</v>
      </c>
      <c r="E16" s="46" t="n">
        <f aca="false">('Five Year'!$D$15+'Five Year'!$D$16)/(Inputs!$D$16*(E$5*(1-'Five Year'!$D$48-Inputs!$D$51)-'Five Year'!$D$11))</f>
        <v>0.152217935335609</v>
      </c>
      <c r="F16" s="46" t="n">
        <f aca="false">('Five Year'!$D$15+'Five Year'!$D$16)/(Inputs!$D$16*(F$5*(1-'Five Year'!$D$48-Inputs!$D$51)-'Five Year'!$D$11))</f>
        <v>0.137171557113806</v>
      </c>
      <c r="G16" s="46" t="n">
        <f aca="false">('Five Year'!$D$15+'Five Year'!$D$16)/(Inputs!$D$16*(G$5*(1-'Five Year'!$D$48-Inputs!$D$51)-'Five Year'!$D$11))</f>
        <v>0.124832193828765</v>
      </c>
      <c r="H16" s="46" t="n">
        <f aca="false">('Five Year'!$D$15+'Five Year'!$D$16)/(Inputs!$D$16*(H$5*(1-'Five Year'!$D$48-Inputs!$D$51)-'Five Year'!$D$11))</f>
        <v>0.11452960332091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52"/>
    <col collapsed="false" customWidth="true" hidden="false" outlineLevel="0" max="6" min="4" style="1" width="20"/>
    <col collapsed="false" customWidth="true" hidden="false" outlineLevel="0" max="8" min="8" style="1" width="52"/>
  </cols>
  <sheetData>
    <row r="2" customFormat="false" ht="15" hidden="false" customHeight="true" outlineLevel="0" collapsed="false">
      <c r="B2" s="37" t="s">
        <v>196</v>
      </c>
    </row>
    <row r="3" customFormat="false" ht="15" hidden="false" customHeight="true" outlineLevel="0" collapsed="false">
      <c r="B3" s="40" t="s">
        <v>197</v>
      </c>
    </row>
    <row r="5" customFormat="false" ht="15" hidden="false" customHeight="true" outlineLevel="0" collapsed="false">
      <c r="D5" s="37" t="s">
        <v>198</v>
      </c>
      <c r="E5" s="37" t="s">
        <v>199</v>
      </c>
      <c r="F5" s="37" t="s">
        <v>200</v>
      </c>
    </row>
    <row r="6" customFormat="false" ht="15" hidden="false" customHeight="true" outlineLevel="0" collapsed="false">
      <c r="B6" s="38" t="s">
        <v>80</v>
      </c>
      <c r="D6" s="52" t="n">
        <v>2080000</v>
      </c>
      <c r="E6" s="39" t="n">
        <f aca="false">'Five Year'!D10</f>
        <v>2080000</v>
      </c>
      <c r="F6" s="43" t="n">
        <f aca="false">E6-D6</f>
        <v>0</v>
      </c>
    </row>
    <row r="7" customFormat="false" ht="15" hidden="false" customHeight="true" outlineLevel="0" collapsed="false">
      <c r="B7" s="38" t="s">
        <v>113</v>
      </c>
      <c r="D7" s="52" t="n">
        <v>655000</v>
      </c>
      <c r="E7" s="39" t="n">
        <f aca="false">'Five Year'!D15</f>
        <v>384066.3852063</v>
      </c>
      <c r="F7" s="43" t="n">
        <f aca="false">E7-D7</f>
        <v>-270933.6147937</v>
      </c>
    </row>
    <row r="8" customFormat="false" ht="15" hidden="false" customHeight="true" outlineLevel="0" collapsed="false">
      <c r="B8" s="38" t="s">
        <v>114</v>
      </c>
      <c r="D8" s="52" t="n">
        <v>60000</v>
      </c>
      <c r="E8" s="39" t="n">
        <f aca="false">'Five Year'!D16</f>
        <v>60000</v>
      </c>
      <c r="F8" s="43" t="n">
        <f aca="false">E8-D8</f>
        <v>0</v>
      </c>
    </row>
    <row r="9" customFormat="false" ht="15" hidden="false" customHeight="true" outlineLevel="0" collapsed="false">
      <c r="B9" s="38" t="s">
        <v>110</v>
      </c>
      <c r="D9" s="43" t="n">
        <f aca="false">2050*320</f>
        <v>656000</v>
      </c>
      <c r="E9" s="39" t="n">
        <f aca="false">'Five Year'!D12</f>
        <v>369077.365746094</v>
      </c>
      <c r="F9" s="43" t="n">
        <f aca="false">E9-D9</f>
        <v>-286922.634253906</v>
      </c>
    </row>
    <row r="10" customFormat="false" ht="15" hidden="false" customHeight="true" outlineLevel="0" collapsed="false">
      <c r="B10" s="38" t="s">
        <v>111</v>
      </c>
      <c r="D10" s="43" t="n">
        <f aca="false">D6*0.12</f>
        <v>249600</v>
      </c>
      <c r="E10" s="39" t="n">
        <f aca="false">'Five Year'!D13</f>
        <v>249600</v>
      </c>
      <c r="F10" s="43" t="n">
        <f aca="false">E10-D10</f>
        <v>0</v>
      </c>
    </row>
    <row r="11" customFormat="false" ht="15" hidden="false" customHeight="true" outlineLevel="0" collapsed="false">
      <c r="B11" s="38" t="s">
        <v>112</v>
      </c>
      <c r="D11" s="43" t="n">
        <f aca="false">MAX(100000,0.08*D6)</f>
        <v>166400</v>
      </c>
      <c r="E11" s="39" t="n">
        <f aca="false">'Five Year'!D14</f>
        <v>166400</v>
      </c>
      <c r="F11" s="43" t="n">
        <f aca="false">E11-D11</f>
        <v>0</v>
      </c>
    </row>
    <row r="12" customFormat="false" ht="15" hidden="false" customHeight="true" outlineLevel="0" collapsed="false">
      <c r="B12" s="37" t="s">
        <v>82</v>
      </c>
      <c r="D12" s="43" t="n">
        <f aca="false">D6-D7-D8-D9-D10-D11</f>
        <v>293000</v>
      </c>
      <c r="E12" s="39" t="n">
        <f aca="false">'Five Year'!D17</f>
        <v>850856.249047606</v>
      </c>
      <c r="F12" s="43" t="n">
        <f aca="false">E12-D12</f>
        <v>557856.249047606</v>
      </c>
      <c r="H12" s="40" t="s">
        <v>201</v>
      </c>
    </row>
    <row r="13" customFormat="false" ht="15" hidden="false" customHeight="true" outlineLevel="0" collapsed="false">
      <c r="B13" s="37" t="s">
        <v>83</v>
      </c>
      <c r="D13" s="46" t="n">
        <f aca="false">D12/D6</f>
        <v>0.140865384615385</v>
      </c>
      <c r="E13" s="41" t="n">
        <f aca="false">'Five Year'!D18</f>
        <v>0.409065504349811</v>
      </c>
      <c r="F13" s="46" t="n">
        <f aca="false">E13-D13</f>
        <v>0.268200119734426</v>
      </c>
    </row>
    <row r="16" customFormat="false" ht="15" hidden="false" customHeight="true" outlineLevel="0" collapsed="false">
      <c r="B16" s="55" t="s">
        <v>202</v>
      </c>
    </row>
    <row r="17" customFormat="false" ht="15" hidden="false" customHeight="true" outlineLevel="0" collapsed="false">
      <c r="B17" s="63" t="s">
        <v>203</v>
      </c>
      <c r="D17" s="64" t="n">
        <v>3316000</v>
      </c>
    </row>
    <row r="18" customFormat="false" ht="15" hidden="false" customHeight="true" outlineLevel="0" collapsed="false">
      <c r="B18" s="63" t="s">
        <v>204</v>
      </c>
      <c r="D18" s="65" t="n">
        <f aca="false">Capital!$D$37</f>
        <v>4619550.75026219</v>
      </c>
    </row>
    <row r="19" customFormat="false" ht="15" hidden="false" customHeight="true" outlineLevel="0" collapsed="false">
      <c r="B19" s="63" t="s">
        <v>205</v>
      </c>
      <c r="D19" s="64" t="n">
        <v>-800000</v>
      </c>
      <c r="H19" s="40" t="s">
        <v>206</v>
      </c>
    </row>
    <row r="20" customFormat="false" ht="15" hidden="false" customHeight="true" outlineLevel="0" collapsed="false">
      <c r="B20" s="63" t="s">
        <v>207</v>
      </c>
      <c r="D20" s="61" t="n">
        <f aca="false">D18-D17-D19</f>
        <v>2103550.75026219</v>
      </c>
    </row>
    <row r="21" customFormat="false" ht="15" hidden="false" customHeight="true" outlineLevel="0" collapsed="false">
      <c r="B21" s="55" t="s">
        <v>208</v>
      </c>
      <c r="D21" s="66" t="n">
        <f aca="false">D17+D19+D20</f>
        <v>4619550.75026219</v>
      </c>
      <c r="H21" s="40" t="s">
        <v>209</v>
      </c>
    </row>
    <row r="23" customFormat="false" ht="15" hidden="false" customHeight="true" outlineLevel="0" collapsed="false">
      <c r="B23" s="62" t="s">
        <v>210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6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52"/>
    <col collapsed="false" customWidth="true" hidden="false" outlineLevel="0" max="9" min="3" style="1" width="17"/>
    <col collapsed="false" customWidth="true" hidden="false" outlineLevel="0" max="10" min="10" style="1" width="46"/>
  </cols>
  <sheetData>
    <row r="2" customFormat="false" ht="15" hidden="false" customHeight="true" outlineLevel="0" collapsed="false">
      <c r="B2" s="37" t="s">
        <v>211</v>
      </c>
    </row>
    <row r="3" customFormat="false" ht="15" hidden="false" customHeight="true" outlineLevel="0" collapsed="false">
      <c r="B3" s="40" t="s">
        <v>212</v>
      </c>
    </row>
    <row r="4" customFormat="false" ht="15" hidden="false" customHeight="true" outlineLevel="0" collapsed="false">
      <c r="B4" s="40" t="s">
        <v>213</v>
      </c>
    </row>
    <row r="6" customFormat="false" ht="15" hidden="false" customHeight="true" outlineLevel="0" collapsed="false">
      <c r="B6" s="37" t="s">
        <v>214</v>
      </c>
    </row>
    <row r="7" customFormat="false" ht="15" hidden="false" customHeight="true" outlineLevel="0" collapsed="false">
      <c r="D7" s="37" t="s">
        <v>215</v>
      </c>
      <c r="E7" s="37" t="s">
        <v>216</v>
      </c>
      <c r="F7" s="37" t="s">
        <v>217</v>
      </c>
      <c r="G7" s="37" t="s">
        <v>218</v>
      </c>
      <c r="H7" s="37" t="s">
        <v>219</v>
      </c>
      <c r="I7" s="37" t="s">
        <v>220</v>
      </c>
    </row>
    <row r="8" customFormat="false" ht="15" hidden="false" customHeight="true" outlineLevel="0" collapsed="false">
      <c r="B8" s="38" t="s">
        <v>221</v>
      </c>
      <c r="D8" s="67" t="s">
        <v>222</v>
      </c>
      <c r="E8" s="68" t="n">
        <v>1</v>
      </c>
      <c r="F8" s="67" t="s">
        <v>223</v>
      </c>
      <c r="G8" s="69" t="n">
        <v>22.3122</v>
      </c>
      <c r="H8" s="70" t="n">
        <f aca="false">E8</f>
        <v>1</v>
      </c>
      <c r="I8" s="38" t="s">
        <v>224</v>
      </c>
      <c r="J8" s="40" t="s">
        <v>225</v>
      </c>
    </row>
    <row r="9" customFormat="false" ht="15" hidden="false" customHeight="true" outlineLevel="0" collapsed="false">
      <c r="B9" s="38" t="s">
        <v>226</v>
      </c>
      <c r="D9" s="67" t="s">
        <v>227</v>
      </c>
      <c r="E9" s="68" t="n">
        <v>1</v>
      </c>
      <c r="F9" s="67" t="s">
        <v>223</v>
      </c>
      <c r="G9" s="69" t="n">
        <v>19.1892</v>
      </c>
      <c r="H9" s="70" t="n">
        <f aca="false">E9</f>
        <v>1</v>
      </c>
      <c r="I9" s="38" t="s">
        <v>224</v>
      </c>
      <c r="J9" s="40" t="s">
        <v>228</v>
      </c>
    </row>
    <row r="10" customFormat="false" ht="15" hidden="false" customHeight="true" outlineLevel="0" collapsed="false">
      <c r="B10" s="38" t="s">
        <v>229</v>
      </c>
      <c r="G10" s="71" t="n">
        <f aca="false">G9/G8</f>
        <v>0.860031731519079</v>
      </c>
      <c r="J10" s="40" t="s">
        <v>230</v>
      </c>
    </row>
    <row r="11" customFormat="false" ht="15" hidden="false" customHeight="true" outlineLevel="0" collapsed="false">
      <c r="B11" s="40" t="s">
        <v>231</v>
      </c>
    </row>
    <row r="13" customFormat="false" ht="15" hidden="false" customHeight="true" outlineLevel="0" collapsed="false">
      <c r="B13" s="37" t="s">
        <v>232</v>
      </c>
    </row>
    <row r="14" customFormat="false" ht="15" hidden="false" customHeight="true" outlineLevel="0" collapsed="false">
      <c r="B14" s="38" t="s">
        <v>233</v>
      </c>
      <c r="D14" s="68" t="n">
        <v>20</v>
      </c>
      <c r="J14" s="40" t="s">
        <v>234</v>
      </c>
    </row>
    <row r="15" customFormat="false" ht="15" hidden="false" customHeight="true" outlineLevel="0" collapsed="false">
      <c r="B15" s="38" t="s">
        <v>235</v>
      </c>
      <c r="D15" s="68" t="n">
        <v>40</v>
      </c>
      <c r="J15" s="40" t="s">
        <v>236</v>
      </c>
    </row>
    <row r="16" customFormat="false" ht="15" hidden="false" customHeight="true" outlineLevel="0" collapsed="false">
      <c r="B16" s="38" t="s">
        <v>237</v>
      </c>
      <c r="D16" s="44" t="n">
        <f aca="false">D14*D15</f>
        <v>800</v>
      </c>
      <c r="J16" s="40" t="s">
        <v>238</v>
      </c>
    </row>
    <row r="17" customFormat="false" ht="15" hidden="false" customHeight="true" outlineLevel="0" collapsed="false">
      <c r="B17" s="38" t="s">
        <v>239</v>
      </c>
      <c r="D17" s="68" t="n">
        <v>7</v>
      </c>
    </row>
    <row r="18" customFormat="false" ht="15" hidden="false" customHeight="true" outlineLevel="0" collapsed="false">
      <c r="B18" s="38" t="s">
        <v>240</v>
      </c>
      <c r="D18" s="68" t="n">
        <v>2</v>
      </c>
      <c r="J18" s="40" t="s">
        <v>241</v>
      </c>
    </row>
    <row r="21" customFormat="false" ht="15" hidden="false" customHeight="true" outlineLevel="0" collapsed="false">
      <c r="B21" s="37" t="s">
        <v>242</v>
      </c>
    </row>
    <row r="22" customFormat="false" ht="15" hidden="false" customHeight="true" outlineLevel="0" collapsed="false">
      <c r="D22" s="37" t="s">
        <v>215</v>
      </c>
      <c r="E22" s="37" t="s">
        <v>216</v>
      </c>
      <c r="F22" s="37" t="s">
        <v>217</v>
      </c>
      <c r="G22" s="37" t="s">
        <v>218</v>
      </c>
      <c r="H22" s="37" t="s">
        <v>219</v>
      </c>
      <c r="I22" s="37" t="s">
        <v>220</v>
      </c>
    </row>
    <row r="23" customFormat="false" ht="15" hidden="false" customHeight="true" outlineLevel="0" collapsed="false">
      <c r="B23" s="38" t="s">
        <v>243</v>
      </c>
      <c r="D23" s="38" t="s">
        <v>244</v>
      </c>
      <c r="E23" s="72" t="n">
        <v>5400000</v>
      </c>
      <c r="F23" s="38" t="s">
        <v>245</v>
      </c>
      <c r="G23" s="57" t="n">
        <f aca="false">$G$8</f>
        <v>22.3122</v>
      </c>
      <c r="H23" s="43" t="n">
        <f aca="false">E23/G23</f>
        <v>242020.060773926</v>
      </c>
      <c r="I23" s="38" t="s">
        <v>246</v>
      </c>
      <c r="J23" s="40" t="s">
        <v>247</v>
      </c>
    </row>
    <row r="24" customFormat="false" ht="15" hidden="false" customHeight="true" outlineLevel="0" collapsed="false">
      <c r="B24" s="38" t="s">
        <v>248</v>
      </c>
      <c r="D24" s="38" t="s">
        <v>244</v>
      </c>
      <c r="E24" s="72" t="n">
        <v>0</v>
      </c>
      <c r="F24" s="38" t="s">
        <v>245</v>
      </c>
      <c r="G24" s="57" t="n">
        <f aca="false">$G$8</f>
        <v>22.3122</v>
      </c>
      <c r="H24" s="43" t="n">
        <f aca="false">E24/G24</f>
        <v>0</v>
      </c>
      <c r="I24" s="38" t="s">
        <v>246</v>
      </c>
      <c r="J24" s="40" t="s">
        <v>249</v>
      </c>
    </row>
    <row r="25" customFormat="false" ht="15" hidden="false" customHeight="true" outlineLevel="0" collapsed="false">
      <c r="B25" s="38" t="s">
        <v>250</v>
      </c>
      <c r="D25" s="38" t="s">
        <v>244</v>
      </c>
      <c r="E25" s="72" t="n">
        <v>1200000</v>
      </c>
      <c r="F25" s="38" t="s">
        <v>245</v>
      </c>
      <c r="G25" s="57" t="n">
        <f aca="false">$G$8</f>
        <v>22.3122</v>
      </c>
      <c r="H25" s="43" t="n">
        <f aca="false">E25/G25</f>
        <v>53782.2357275392</v>
      </c>
      <c r="I25" s="38" t="s">
        <v>246</v>
      </c>
      <c r="J25" s="40" t="s">
        <v>251</v>
      </c>
    </row>
    <row r="26" customFormat="false" ht="15" hidden="false" customHeight="true" outlineLevel="0" collapsed="false">
      <c r="B26" s="38" t="s">
        <v>252</v>
      </c>
      <c r="D26" s="38" t="s">
        <v>244</v>
      </c>
      <c r="E26" s="72" t="n">
        <v>700000</v>
      </c>
      <c r="F26" s="38" t="s">
        <v>245</v>
      </c>
      <c r="G26" s="57" t="n">
        <f aca="false">$G$8</f>
        <v>22.3122</v>
      </c>
      <c r="H26" s="43" t="n">
        <f aca="false">E26/G26</f>
        <v>31372.9708410645</v>
      </c>
      <c r="I26" s="38" t="s">
        <v>246</v>
      </c>
      <c r="J26" s="40" t="s">
        <v>253</v>
      </c>
    </row>
    <row r="27" customFormat="false" ht="15" hidden="false" customHeight="true" outlineLevel="0" collapsed="false">
      <c r="B27" s="38" t="s">
        <v>254</v>
      </c>
      <c r="D27" s="38" t="s">
        <v>244</v>
      </c>
      <c r="E27" s="72" t="n">
        <v>600000</v>
      </c>
      <c r="F27" s="38" t="s">
        <v>245</v>
      </c>
      <c r="G27" s="57" t="n">
        <f aca="false">$G$8</f>
        <v>22.3122</v>
      </c>
      <c r="H27" s="43" t="n">
        <f aca="false">E27/G27</f>
        <v>26891.1178637696</v>
      </c>
      <c r="I27" s="38" t="s">
        <v>246</v>
      </c>
      <c r="J27" s="40" t="s">
        <v>255</v>
      </c>
    </row>
    <row r="28" customFormat="false" ht="15" hidden="false" customHeight="true" outlineLevel="0" collapsed="false">
      <c r="B28" s="37" t="s">
        <v>256</v>
      </c>
      <c r="E28" s="44" t="n">
        <f aca="false">SUM(E23:E27)</f>
        <v>7900000</v>
      </c>
      <c r="H28" s="43" t="n">
        <f aca="false">SUM(H23:H27)</f>
        <v>354066.3852063</v>
      </c>
    </row>
    <row r="29" customFormat="false" ht="15" hidden="false" customHeight="true" outlineLevel="0" collapsed="false">
      <c r="B29" s="38" t="s">
        <v>257</v>
      </c>
      <c r="D29" s="38" t="s">
        <v>258</v>
      </c>
      <c r="E29" s="73" t="n">
        <v>30000</v>
      </c>
      <c r="H29" s="43" t="n">
        <f aca="false">E29</f>
        <v>30000</v>
      </c>
      <c r="J29" s="40" t="s">
        <v>259</v>
      </c>
    </row>
    <row r="30" customFormat="false" ht="15" hidden="false" customHeight="true" outlineLevel="0" collapsed="false">
      <c r="B30" s="38" t="s">
        <v>260</v>
      </c>
      <c r="D30" s="38" t="s">
        <v>258</v>
      </c>
      <c r="E30" s="73" t="n">
        <v>60000</v>
      </c>
      <c r="H30" s="43" t="n">
        <f aca="false">E30</f>
        <v>60000</v>
      </c>
    </row>
    <row r="31" customFormat="false" ht="15" hidden="false" customHeight="true" outlineLevel="0" collapsed="false">
      <c r="B31" s="37" t="s">
        <v>261</v>
      </c>
      <c r="H31" s="43" t="n">
        <f aca="false">H28+H29</f>
        <v>384066.3852063</v>
      </c>
    </row>
    <row r="32" customFormat="false" ht="15" hidden="false" customHeight="true" outlineLevel="0" collapsed="false">
      <c r="B32" s="40" t="s">
        <v>262</v>
      </c>
    </row>
    <row r="34" customFormat="false" ht="15" hidden="false" customHeight="true" outlineLevel="0" collapsed="false">
      <c r="B34" s="37" t="s">
        <v>109</v>
      </c>
    </row>
    <row r="35" customFormat="false" ht="15" hidden="false" customHeight="true" outlineLevel="0" collapsed="false">
      <c r="D35" s="37" t="s">
        <v>215</v>
      </c>
      <c r="E35" s="37" t="s">
        <v>216</v>
      </c>
      <c r="F35" s="37" t="s">
        <v>217</v>
      </c>
      <c r="G35" s="37" t="s">
        <v>218</v>
      </c>
      <c r="H35" s="37" t="s">
        <v>219</v>
      </c>
      <c r="I35" s="37" t="s">
        <v>220</v>
      </c>
    </row>
    <row r="36" customFormat="false" ht="15" hidden="false" customHeight="true" outlineLevel="0" collapsed="false">
      <c r="B36" s="38" t="s">
        <v>263</v>
      </c>
      <c r="D36" s="38" t="s">
        <v>244</v>
      </c>
      <c r="E36" s="72" t="n">
        <v>5000</v>
      </c>
      <c r="F36" s="38" t="s">
        <v>245</v>
      </c>
      <c r="G36" s="57" t="n">
        <f aca="false">$G$8</f>
        <v>22.3122</v>
      </c>
      <c r="H36" s="45" t="n">
        <f aca="false">E36/G36</f>
        <v>224.092648864747</v>
      </c>
      <c r="I36" s="38" t="s">
        <v>246</v>
      </c>
    </row>
    <row r="37" customFormat="false" ht="15" hidden="false" customHeight="true" outlineLevel="0" collapsed="false">
      <c r="B37" s="38" t="s">
        <v>264</v>
      </c>
      <c r="D37" s="38" t="s">
        <v>244</v>
      </c>
      <c r="E37" s="72" t="n">
        <v>2500</v>
      </c>
      <c r="F37" s="38" t="s">
        <v>245</v>
      </c>
      <c r="G37" s="57" t="n">
        <f aca="false">$G$8</f>
        <v>22.3122</v>
      </c>
      <c r="H37" s="45" t="n">
        <f aca="false">E37/G37</f>
        <v>112.046324432373</v>
      </c>
      <c r="I37" s="38" t="s">
        <v>246</v>
      </c>
    </row>
    <row r="38" customFormat="false" ht="15" hidden="false" customHeight="true" outlineLevel="0" collapsed="false">
      <c r="B38" s="38" t="s">
        <v>265</v>
      </c>
      <c r="D38" s="38" t="s">
        <v>244</v>
      </c>
      <c r="E38" s="72" t="n">
        <v>1500</v>
      </c>
      <c r="F38" s="38" t="s">
        <v>245</v>
      </c>
      <c r="G38" s="57" t="n">
        <f aca="false">$G$8</f>
        <v>22.3122</v>
      </c>
      <c r="H38" s="45" t="n">
        <f aca="false">E38/G38</f>
        <v>67.227794659424</v>
      </c>
      <c r="I38" s="38" t="s">
        <v>246</v>
      </c>
    </row>
    <row r="39" customFormat="false" ht="15" hidden="false" customHeight="true" outlineLevel="0" collapsed="false">
      <c r="B39" s="38" t="s">
        <v>266</v>
      </c>
      <c r="D39" s="38" t="s">
        <v>258</v>
      </c>
      <c r="E39" s="73" t="n">
        <v>650</v>
      </c>
      <c r="F39" s="38" t="s">
        <v>245</v>
      </c>
      <c r="G39" s="70" t="n">
        <v>1</v>
      </c>
      <c r="H39" s="45" t="n">
        <f aca="false">E39/G39</f>
        <v>650</v>
      </c>
      <c r="I39" s="38" t="s">
        <v>246</v>
      </c>
    </row>
    <row r="40" customFormat="false" ht="15" hidden="false" customHeight="true" outlineLevel="0" collapsed="false">
      <c r="B40" s="38" t="s">
        <v>267</v>
      </c>
      <c r="D40" s="38" t="s">
        <v>258</v>
      </c>
      <c r="E40" s="73" t="n">
        <v>100</v>
      </c>
      <c r="F40" s="38" t="s">
        <v>245</v>
      </c>
      <c r="G40" s="70" t="n">
        <v>1</v>
      </c>
      <c r="H40" s="45" t="n">
        <f aca="false">E40/G40</f>
        <v>100</v>
      </c>
      <c r="I40" s="38" t="s">
        <v>246</v>
      </c>
    </row>
    <row r="41" customFormat="false" ht="15" hidden="false" customHeight="true" outlineLevel="0" collapsed="false">
      <c r="B41" s="37" t="s">
        <v>268</v>
      </c>
      <c r="E41" s="44" t="n">
        <f aca="false">SUM(E36:E38)</f>
        <v>9000</v>
      </c>
    </row>
    <row r="42" customFormat="false" ht="15" hidden="false" customHeight="true" outlineLevel="0" collapsed="false">
      <c r="B42" s="37" t="s">
        <v>269</v>
      </c>
      <c r="E42" s="43" t="n">
        <f aca="false">SUM(E39:E40)</f>
        <v>750</v>
      </c>
    </row>
    <row r="43" customFormat="false" ht="15" hidden="false" customHeight="true" outlineLevel="0" collapsed="false">
      <c r="B43" s="37" t="s">
        <v>270</v>
      </c>
      <c r="H43" s="45" t="n">
        <f aca="false">SUM(H36:H40)</f>
        <v>1153.36676795654</v>
      </c>
    </row>
    <row r="44" customFormat="false" ht="15" hidden="false" customHeight="true" outlineLevel="0" collapsed="false">
      <c r="B44" s="40" t="s">
        <v>271</v>
      </c>
    </row>
    <row r="46" customFormat="false" ht="15" hidden="false" customHeight="true" outlineLevel="0" collapsed="false">
      <c r="B46" s="37" t="s">
        <v>272</v>
      </c>
    </row>
    <row r="47" customFormat="false" ht="15" hidden="false" customHeight="true" outlineLevel="0" collapsed="false">
      <c r="B47" s="38" t="s">
        <v>273</v>
      </c>
      <c r="D47" s="74" t="n">
        <v>0.06</v>
      </c>
      <c r="J47" s="40" t="s">
        <v>274</v>
      </c>
    </row>
    <row r="48" customFormat="false" ht="15" hidden="false" customHeight="true" outlineLevel="0" collapsed="false">
      <c r="B48" s="38" t="s">
        <v>275</v>
      </c>
      <c r="D48" s="74" t="n">
        <v>0.03</v>
      </c>
      <c r="J48" s="40" t="s">
        <v>276</v>
      </c>
    </row>
    <row r="49" customFormat="false" ht="15" hidden="false" customHeight="true" outlineLevel="0" collapsed="false">
      <c r="B49" s="38" t="s">
        <v>277</v>
      </c>
      <c r="D49" s="74" t="n">
        <v>0.06</v>
      </c>
      <c r="J49" s="40" t="s">
        <v>278</v>
      </c>
    </row>
    <row r="50" customFormat="false" ht="15" hidden="false" customHeight="true" outlineLevel="0" collapsed="false">
      <c r="B50" s="38" t="s">
        <v>279</v>
      </c>
      <c r="D50" s="73" t="n">
        <v>100000</v>
      </c>
      <c r="J50" s="40" t="s">
        <v>280</v>
      </c>
    </row>
    <row r="51" customFormat="false" ht="15" hidden="false" customHeight="true" outlineLevel="0" collapsed="false">
      <c r="B51" s="38" t="s">
        <v>281</v>
      </c>
      <c r="D51" s="74" t="n">
        <v>0.08</v>
      </c>
      <c r="J51" s="40" t="s">
        <v>282</v>
      </c>
    </row>
    <row r="52" customFormat="false" ht="15" hidden="false" customHeight="true" outlineLevel="0" collapsed="false">
      <c r="B52" s="38" t="s">
        <v>283</v>
      </c>
      <c r="D52" s="74" t="n">
        <v>0.03</v>
      </c>
    </row>
    <row r="53" customFormat="false" ht="15" hidden="false" customHeight="true" outlineLevel="0" collapsed="false">
      <c r="B53" s="38" t="s">
        <v>284</v>
      </c>
      <c r="D53" s="74" t="n">
        <v>0.05</v>
      </c>
      <c r="J53" s="40" t="s">
        <v>285</v>
      </c>
    </row>
    <row r="54" customFormat="false" ht="15" hidden="false" customHeight="true" outlineLevel="0" collapsed="false">
      <c r="B54" s="38" t="s">
        <v>286</v>
      </c>
      <c r="D54" s="74" t="n">
        <v>0.3</v>
      </c>
      <c r="J54" s="40" t="s">
        <v>287</v>
      </c>
    </row>
    <row r="55" customFormat="false" ht="15" hidden="false" customHeight="true" outlineLevel="0" collapsed="false">
      <c r="B55" s="38" t="s">
        <v>288</v>
      </c>
      <c r="D55" s="73" t="n">
        <v>800000</v>
      </c>
      <c r="J55" s="40" t="s">
        <v>289</v>
      </c>
    </row>
    <row r="56" customFormat="false" ht="15" hidden="false" customHeight="true" outlineLevel="0" collapsed="false">
      <c r="B56" s="38" t="s">
        <v>290</v>
      </c>
      <c r="D56" s="73" t="n">
        <v>300000</v>
      </c>
      <c r="J56" s="40" t="s">
        <v>291</v>
      </c>
    </row>
    <row r="58" customFormat="false" ht="15" hidden="false" customHeight="true" outlineLevel="0" collapsed="false">
      <c r="B58" s="40" t="s">
        <v>292</v>
      </c>
    </row>
    <row r="60" customFormat="false" ht="15" hidden="false" customHeight="true" outlineLevel="0" collapsed="false">
      <c r="B60" s="37" t="s">
        <v>293</v>
      </c>
    </row>
    <row r="61" customFormat="false" ht="15" hidden="false" customHeight="true" outlineLevel="0" collapsed="false">
      <c r="B61" s="38" t="s">
        <v>294</v>
      </c>
      <c r="D61" s="72" t="n">
        <v>5</v>
      </c>
    </row>
    <row r="62" customFormat="false" ht="15" hidden="false" customHeight="true" outlineLevel="0" collapsed="false">
      <c r="B62" s="38" t="s">
        <v>295</v>
      </c>
      <c r="D62" s="38" t="str">
        <f aca="false">INDEX(Regions!C4:C17,$D$61)</f>
        <v>Livingstone / Zambia</v>
      </c>
    </row>
    <row r="63" customFormat="false" ht="15" hidden="false" customHeight="true" outlineLevel="0" collapsed="false">
      <c r="B63" s="38" t="s">
        <v>296</v>
      </c>
      <c r="D63" s="44" t="n">
        <f aca="false">INDEX(Regions!D4:D17,$D$61)</f>
        <v>20</v>
      </c>
    </row>
    <row r="64" customFormat="false" ht="15" hidden="false" customHeight="true" outlineLevel="0" collapsed="false">
      <c r="B64" s="38" t="s">
        <v>297</v>
      </c>
      <c r="D64" s="44" t="n">
        <f aca="false">INDEX(Regions!E4:E17,$D$61)</f>
        <v>40</v>
      </c>
    </row>
    <row r="65" customFormat="false" ht="15" hidden="false" customHeight="true" outlineLevel="0" collapsed="false">
      <c r="B65" s="40" t="s">
        <v>298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0"/>
    <col collapsed="false" customWidth="true" hidden="false" outlineLevel="0" max="7" min="3" style="1" width="18"/>
    <col collapsed="false" customWidth="true" hidden="false" outlineLevel="0" max="8" min="8" style="1" width="44"/>
  </cols>
  <sheetData>
    <row r="2" customFormat="false" ht="15" hidden="false" customHeight="true" outlineLevel="0" collapsed="false">
      <c r="B2" s="37" t="s">
        <v>299</v>
      </c>
    </row>
    <row r="3" customFormat="false" ht="15" hidden="false" customHeight="true" outlineLevel="0" collapsed="false">
      <c r="B3" s="37" t="s">
        <v>300</v>
      </c>
      <c r="C3" s="37" t="s">
        <v>301</v>
      </c>
      <c r="D3" s="37" t="s">
        <v>302</v>
      </c>
      <c r="E3" s="37" t="s">
        <v>303</v>
      </c>
      <c r="F3" s="37" t="s">
        <v>304</v>
      </c>
    </row>
    <row r="4" customFormat="false" ht="15" hidden="false" customHeight="true" outlineLevel="0" collapsed="false">
      <c r="B4" s="38" t="s">
        <v>305</v>
      </c>
      <c r="C4" s="68" t="n">
        <v>1</v>
      </c>
      <c r="D4" s="72" t="n">
        <v>45000</v>
      </c>
      <c r="E4" s="44" t="n">
        <f aca="false">C4*D4</f>
        <v>45000</v>
      </c>
      <c r="F4" s="44" t="n">
        <f aca="false">E4*12</f>
        <v>540000</v>
      </c>
    </row>
    <row r="5" customFormat="false" ht="15" hidden="false" customHeight="true" outlineLevel="0" collapsed="false">
      <c r="B5" s="38" t="s">
        <v>306</v>
      </c>
      <c r="C5" s="68" t="n">
        <v>1</v>
      </c>
      <c r="D5" s="72" t="n">
        <v>35000</v>
      </c>
      <c r="E5" s="44" t="n">
        <f aca="false">C5*D5</f>
        <v>35000</v>
      </c>
      <c r="F5" s="44" t="n">
        <f aca="false">E5*12</f>
        <v>420000</v>
      </c>
    </row>
    <row r="6" customFormat="false" ht="15" hidden="false" customHeight="true" outlineLevel="0" collapsed="false">
      <c r="B6" s="38" t="s">
        <v>307</v>
      </c>
      <c r="C6" s="68" t="n">
        <v>1</v>
      </c>
      <c r="D6" s="72" t="n">
        <v>28000</v>
      </c>
      <c r="E6" s="44" t="n">
        <f aca="false">C6*D6</f>
        <v>28000</v>
      </c>
      <c r="F6" s="44" t="n">
        <f aca="false">E6*12</f>
        <v>336000</v>
      </c>
    </row>
    <row r="7" customFormat="false" ht="15" hidden="false" customHeight="true" outlineLevel="0" collapsed="false">
      <c r="B7" s="38" t="s">
        <v>308</v>
      </c>
      <c r="C7" s="68" t="n">
        <v>1</v>
      </c>
      <c r="D7" s="72" t="n">
        <v>18000</v>
      </c>
      <c r="E7" s="44" t="n">
        <f aca="false">C7*D7</f>
        <v>18000</v>
      </c>
      <c r="F7" s="44" t="n">
        <f aca="false">E7*12</f>
        <v>216000</v>
      </c>
    </row>
    <row r="8" customFormat="false" ht="15" hidden="false" customHeight="true" outlineLevel="0" collapsed="false">
      <c r="B8" s="38" t="s">
        <v>309</v>
      </c>
      <c r="C8" s="68" t="n">
        <v>4</v>
      </c>
      <c r="D8" s="72" t="n">
        <v>12000</v>
      </c>
      <c r="E8" s="44" t="n">
        <f aca="false">C8*D8</f>
        <v>48000</v>
      </c>
      <c r="F8" s="44" t="n">
        <f aca="false">E8*12</f>
        <v>576000</v>
      </c>
    </row>
    <row r="9" customFormat="false" ht="15" hidden="false" customHeight="true" outlineLevel="0" collapsed="false">
      <c r="B9" s="38" t="s">
        <v>310</v>
      </c>
      <c r="C9" s="68" t="n">
        <v>6</v>
      </c>
      <c r="D9" s="72" t="n">
        <v>7000</v>
      </c>
      <c r="E9" s="44" t="n">
        <f aca="false">C9*D9</f>
        <v>42000</v>
      </c>
      <c r="F9" s="44" t="n">
        <f aca="false">E9*12</f>
        <v>504000</v>
      </c>
    </row>
    <row r="10" customFormat="false" ht="15" hidden="false" customHeight="true" outlineLevel="0" collapsed="false">
      <c r="B10" s="38" t="s">
        <v>311</v>
      </c>
      <c r="C10" s="68" t="n">
        <v>4</v>
      </c>
      <c r="D10" s="72" t="n">
        <v>9000</v>
      </c>
      <c r="E10" s="44" t="n">
        <f aca="false">C10*D10</f>
        <v>36000</v>
      </c>
      <c r="F10" s="44" t="n">
        <f aca="false">E10*12</f>
        <v>432000</v>
      </c>
    </row>
    <row r="11" customFormat="false" ht="15" hidden="false" customHeight="true" outlineLevel="0" collapsed="false">
      <c r="B11" s="38" t="s">
        <v>312</v>
      </c>
      <c r="C11" s="68" t="n">
        <v>4</v>
      </c>
      <c r="D11" s="72" t="n">
        <v>7000</v>
      </c>
      <c r="E11" s="44" t="n">
        <f aca="false">C11*D11</f>
        <v>28000</v>
      </c>
      <c r="F11" s="44" t="n">
        <f aca="false">E11*12</f>
        <v>336000</v>
      </c>
    </row>
    <row r="12" customFormat="false" ht="15" hidden="false" customHeight="true" outlineLevel="0" collapsed="false">
      <c r="B12" s="38" t="s">
        <v>313</v>
      </c>
      <c r="C12" s="68" t="n">
        <v>2</v>
      </c>
      <c r="D12" s="72" t="n">
        <v>12000</v>
      </c>
      <c r="E12" s="44" t="n">
        <f aca="false">C12*D12</f>
        <v>24000</v>
      </c>
      <c r="F12" s="44" t="n">
        <f aca="false">E12*12</f>
        <v>288000</v>
      </c>
    </row>
    <row r="13" customFormat="false" ht="15" hidden="false" customHeight="true" outlineLevel="0" collapsed="false">
      <c r="B13" s="37" t="s">
        <v>314</v>
      </c>
      <c r="C13" s="44" t="n">
        <f aca="false">SUM(C4:C12)</f>
        <v>24</v>
      </c>
      <c r="E13" s="44" t="n">
        <f aca="false">SUM(E4:E12)</f>
        <v>304000</v>
      </c>
      <c r="F13" s="44" t="n">
        <f aca="false">SUM(F4:F12)</f>
        <v>3648000</v>
      </c>
      <c r="H13" s="40" t="s">
        <v>315</v>
      </c>
    </row>
    <row r="14" customFormat="false" ht="15" hidden="false" customHeight="true" outlineLevel="0" collapsed="false">
      <c r="B14" s="38" t="s">
        <v>316</v>
      </c>
      <c r="F14" s="44" t="n">
        <f aca="false">Inputs!E23-F13</f>
        <v>1752000</v>
      </c>
      <c r="H14" s="40" t="s">
        <v>317</v>
      </c>
    </row>
    <row r="15" customFormat="false" ht="15" hidden="false" customHeight="true" outlineLevel="0" collapsed="false">
      <c r="B15" s="37" t="s">
        <v>318</v>
      </c>
      <c r="F15" s="44" t="n">
        <f aca="false">F13+F14</f>
        <v>5400000</v>
      </c>
      <c r="H15" s="40" t="s">
        <v>319</v>
      </c>
    </row>
    <row r="17" customFormat="false" ht="15" hidden="false" customHeight="true" outlineLevel="0" collapsed="false">
      <c r="B17" s="40" t="s">
        <v>320</v>
      </c>
    </row>
    <row r="19" customFormat="false" ht="15" hidden="false" customHeight="true" outlineLevel="0" collapsed="false">
      <c r="B19" s="37" t="s">
        <v>321</v>
      </c>
    </row>
    <row r="20" customFormat="false" ht="15" hidden="false" customHeight="true" outlineLevel="0" collapsed="false">
      <c r="B20" s="37" t="s">
        <v>322</v>
      </c>
      <c r="C20" s="37" t="s">
        <v>244</v>
      </c>
      <c r="D20" s="37" t="s">
        <v>258</v>
      </c>
      <c r="E20" s="37" t="s">
        <v>323</v>
      </c>
    </row>
    <row r="21" customFormat="false" ht="15" hidden="false" customHeight="true" outlineLevel="0" collapsed="false">
      <c r="B21" s="38" t="s">
        <v>324</v>
      </c>
      <c r="C21" s="53" t="n">
        <f aca="false">Inputs!E28</f>
        <v>7900000</v>
      </c>
      <c r="D21" s="39" t="n">
        <f aca="false">Inputs!H28</f>
        <v>354066.3852063</v>
      </c>
      <c r="E21" s="40" t="s">
        <v>325</v>
      </c>
    </row>
    <row r="22" customFormat="false" ht="15" hidden="false" customHeight="true" outlineLevel="0" collapsed="false">
      <c r="B22" s="38" t="s">
        <v>326</v>
      </c>
      <c r="D22" s="39" t="n">
        <f aca="false">Inputs!E29</f>
        <v>30000</v>
      </c>
      <c r="E22" s="40" t="s">
        <v>327</v>
      </c>
    </row>
    <row r="23" customFormat="false" ht="15" hidden="false" customHeight="true" outlineLevel="0" collapsed="false">
      <c r="B23" s="37" t="s">
        <v>328</v>
      </c>
      <c r="D23" s="39" t="n">
        <f aca="false">Inputs!H31</f>
        <v>384066.3852063</v>
      </c>
      <c r="E23" s="40" t="s">
        <v>329</v>
      </c>
    </row>
    <row r="24" customFormat="false" ht="15" hidden="false" customHeight="true" outlineLevel="0" collapsed="false">
      <c r="B24" s="37" t="s">
        <v>114</v>
      </c>
      <c r="D24" s="39" t="n">
        <f aca="false">Inputs!E30</f>
        <v>60000</v>
      </c>
      <c r="E24" s="40" t="s">
        <v>330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L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92"/>
    <col collapsed="false" customWidth="true" hidden="false" outlineLevel="0" max="10" min="4" style="1" width="17"/>
    <col collapsed="false" customWidth="true" hidden="false" outlineLevel="0" max="12" min="12" style="1" width="70"/>
  </cols>
  <sheetData>
    <row r="2" customFormat="false" ht="15.75" hidden="false" customHeight="true" outlineLevel="0" collapsed="false">
      <c r="B2" s="75" t="s">
        <v>331</v>
      </c>
    </row>
    <row r="3" customFormat="false" ht="15" hidden="false" customHeight="true" outlineLevel="0" collapsed="false">
      <c r="B3" s="62" t="s">
        <v>332</v>
      </c>
    </row>
    <row r="5" customFormat="false" ht="33.75" hidden="false" customHeight="true" outlineLevel="0" collapsed="false">
      <c r="B5" s="76"/>
      <c r="C5" s="76"/>
      <c r="D5" s="77" t="s">
        <v>159</v>
      </c>
      <c r="E5" s="77" t="s">
        <v>160</v>
      </c>
      <c r="F5" s="77" t="s">
        <v>161</v>
      </c>
      <c r="G5" s="77" t="s">
        <v>162</v>
      </c>
      <c r="H5" s="77" t="s">
        <v>163</v>
      </c>
      <c r="I5" s="77" t="s">
        <v>164</v>
      </c>
      <c r="J5" s="77" t="s">
        <v>165</v>
      </c>
      <c r="K5" s="76"/>
      <c r="L5" s="76"/>
    </row>
    <row r="6" customFormat="false" ht="15" hidden="false" customHeight="true" outlineLevel="0" collapsed="false">
      <c r="B6" s="63" t="s">
        <v>171</v>
      </c>
      <c r="D6" s="58" t="n">
        <f aca="false">Inputs!G8</f>
        <v>22.3122</v>
      </c>
      <c r="E6" s="58" t="n">
        <f aca="false">Inputs!G8</f>
        <v>22.3122</v>
      </c>
      <c r="F6" s="58" t="n">
        <f aca="false">Inputs!G8/1.2</f>
        <v>18.5935</v>
      </c>
      <c r="G6" s="58" t="n">
        <f aca="false">Inputs!G8</f>
        <v>22.3122</v>
      </c>
      <c r="H6" s="58" t="n">
        <f aca="false">Inputs!G8/1.2</f>
        <v>18.5935</v>
      </c>
      <c r="I6" s="58" t="n">
        <f aca="false">Inputs!G8</f>
        <v>22.3122</v>
      </c>
      <c r="J6" s="58" t="n">
        <f aca="false">Inputs!G8/1.2</f>
        <v>18.5935</v>
      </c>
      <c r="L6" s="62" t="s">
        <v>333</v>
      </c>
    </row>
    <row r="7" customFormat="false" ht="15" hidden="false" customHeight="true" outlineLevel="0" collapsed="false">
      <c r="B7" s="63" t="s">
        <v>334</v>
      </c>
      <c r="D7" s="50" t="n">
        <v>1</v>
      </c>
      <c r="E7" s="50" t="n">
        <v>1</v>
      </c>
      <c r="F7" s="50" t="n">
        <v>1</v>
      </c>
      <c r="G7" s="50" t="n">
        <v>1.2</v>
      </c>
      <c r="H7" s="50" t="n">
        <v>1.2</v>
      </c>
      <c r="I7" s="50" t="n">
        <v>1</v>
      </c>
      <c r="J7" s="50" t="n">
        <v>1.2</v>
      </c>
      <c r="L7" s="62" t="s">
        <v>335</v>
      </c>
    </row>
    <row r="8" customFormat="false" ht="15" hidden="false" customHeight="true" outlineLevel="0" collapsed="false">
      <c r="B8" s="63" t="s">
        <v>336</v>
      </c>
      <c r="D8" s="78" t="n">
        <v>0</v>
      </c>
      <c r="E8" s="78" t="n">
        <v>0</v>
      </c>
      <c r="F8" s="78" t="n">
        <v>0</v>
      </c>
      <c r="G8" s="78" t="n">
        <v>0</v>
      </c>
      <c r="H8" s="78" t="n">
        <v>0</v>
      </c>
      <c r="I8" s="78" t="n">
        <v>6</v>
      </c>
      <c r="J8" s="78" t="n">
        <v>6</v>
      </c>
      <c r="L8" s="62" t="s">
        <v>337</v>
      </c>
    </row>
    <row r="9" customFormat="false" ht="15" hidden="false" customHeight="true" outlineLevel="0" collapsed="false">
      <c r="B9" s="38"/>
      <c r="D9" s="43"/>
      <c r="E9" s="43"/>
      <c r="F9" s="43"/>
      <c r="G9" s="43"/>
      <c r="H9" s="43"/>
    </row>
    <row r="10" customFormat="false" ht="15" hidden="false" customHeight="true" outlineLevel="0" collapsed="false">
      <c r="B10" s="38"/>
      <c r="D10" s="43"/>
      <c r="E10" s="43"/>
      <c r="F10" s="43"/>
      <c r="G10" s="43"/>
      <c r="H10" s="43"/>
    </row>
    <row r="11" customFormat="false" ht="15" hidden="false" customHeight="true" outlineLevel="0" collapsed="false">
      <c r="B11" s="63" t="s">
        <v>338</v>
      </c>
      <c r="D11" s="79" t="n">
        <f aca="false">12000000/D$6</f>
        <v>537822.357275392</v>
      </c>
      <c r="E11" s="79" t="n">
        <f aca="false">12000000/E$6</f>
        <v>537822.357275392</v>
      </c>
      <c r="F11" s="79" t="n">
        <f aca="false">12000000/F$6</f>
        <v>645386.82873047</v>
      </c>
      <c r="G11" s="79" t="n">
        <f aca="false">12000000/G$6</f>
        <v>537822.357275392</v>
      </c>
      <c r="H11" s="79" t="n">
        <f aca="false">12000000/H$6</f>
        <v>645386.82873047</v>
      </c>
      <c r="I11" s="79" t="n">
        <f aca="false">12000000/I$6</f>
        <v>537822.357275392</v>
      </c>
      <c r="J11" s="79" t="n">
        <f aca="false">12000000/J$6</f>
        <v>645386.82873047</v>
      </c>
    </row>
    <row r="12" customFormat="false" ht="15" hidden="false" customHeight="true" outlineLevel="0" collapsed="false">
      <c r="B12" s="63" t="s">
        <v>339</v>
      </c>
      <c r="D12" s="79" t="n">
        <f aca="false">4000000/D$6</f>
        <v>179274.119091797</v>
      </c>
      <c r="E12" s="79" t="n">
        <f aca="false">4000000/E$6</f>
        <v>179274.119091797</v>
      </c>
      <c r="F12" s="79" t="n">
        <f aca="false">4000000/F$6</f>
        <v>215128.942910157</v>
      </c>
      <c r="G12" s="79" t="n">
        <f aca="false">4000000/G$6</f>
        <v>179274.119091797</v>
      </c>
      <c r="H12" s="79" t="n">
        <f aca="false">4000000/H$6</f>
        <v>215128.942910157</v>
      </c>
      <c r="I12" s="79" t="n">
        <f aca="false">4000000/I$6</f>
        <v>179274.119091797</v>
      </c>
      <c r="J12" s="79" t="n">
        <f aca="false">4000000/J$6</f>
        <v>215128.942910157</v>
      </c>
    </row>
    <row r="13" customFormat="false" ht="15" hidden="false" customHeight="true" outlineLevel="0" collapsed="false">
      <c r="B13" s="63" t="s">
        <v>340</v>
      </c>
      <c r="D13" s="79" t="n">
        <f aca="false">8000000/D$6</f>
        <v>358548.238183595</v>
      </c>
      <c r="E13" s="79" t="n">
        <f aca="false">8000000/E$6</f>
        <v>358548.238183595</v>
      </c>
      <c r="F13" s="79" t="n">
        <f aca="false">8000000/F$6</f>
        <v>430257.885820314</v>
      </c>
      <c r="G13" s="79" t="n">
        <f aca="false">8000000/G$6</f>
        <v>358548.238183595</v>
      </c>
      <c r="H13" s="79" t="n">
        <f aca="false">8000000/H$6</f>
        <v>430257.885820314</v>
      </c>
      <c r="I13" s="79" t="n">
        <f aca="false">8000000/I$6</f>
        <v>358548.238183595</v>
      </c>
      <c r="J13" s="79" t="n">
        <f aca="false">8000000/J$6</f>
        <v>430257.885820314</v>
      </c>
    </row>
    <row r="14" customFormat="false" ht="15" hidden="false" customHeight="true" outlineLevel="0" collapsed="false">
      <c r="B14" s="63" t="s">
        <v>341</v>
      </c>
      <c r="D14" s="79" t="n">
        <f aca="false">4000000/D$6</f>
        <v>179274.119091797</v>
      </c>
      <c r="E14" s="79" t="n">
        <f aca="false">4000000/E$6</f>
        <v>179274.119091797</v>
      </c>
      <c r="F14" s="79" t="n">
        <f aca="false">4000000/F$6</f>
        <v>215128.942910157</v>
      </c>
      <c r="G14" s="79" t="n">
        <f aca="false">4000000/G$6</f>
        <v>179274.119091797</v>
      </c>
      <c r="H14" s="79" t="n">
        <f aca="false">4000000/H$6</f>
        <v>215128.942910157</v>
      </c>
      <c r="I14" s="79" t="n">
        <f aca="false">4000000/I$6</f>
        <v>179274.119091797</v>
      </c>
      <c r="J14" s="79" t="n">
        <f aca="false">4000000/J$6</f>
        <v>215128.942910157</v>
      </c>
    </row>
    <row r="15" customFormat="false" ht="15" hidden="false" customHeight="true" outlineLevel="0" collapsed="false">
      <c r="B15" s="63" t="s">
        <v>342</v>
      </c>
      <c r="D15" s="79" t="n">
        <f aca="false">3000000/D$6</f>
        <v>134455.589318848</v>
      </c>
      <c r="E15" s="79" t="n">
        <f aca="false">3000000/E$6</f>
        <v>134455.589318848</v>
      </c>
      <c r="F15" s="79" t="n">
        <f aca="false">3000000/F$6</f>
        <v>161346.707182618</v>
      </c>
      <c r="G15" s="79" t="n">
        <f aca="false">3000000/G$6</f>
        <v>134455.589318848</v>
      </c>
      <c r="H15" s="79" t="n">
        <f aca="false">3000000/H$6</f>
        <v>161346.707182618</v>
      </c>
      <c r="I15" s="79" t="n">
        <f aca="false">3000000/I$6</f>
        <v>134455.589318848</v>
      </c>
      <c r="J15" s="79" t="n">
        <f aca="false">3000000/J$6</f>
        <v>161346.707182618</v>
      </c>
    </row>
    <row r="16" customFormat="false" ht="15" hidden="false" customHeight="true" outlineLevel="0" collapsed="false">
      <c r="B16" s="63" t="s">
        <v>343</v>
      </c>
      <c r="D16" s="79" t="n">
        <f aca="false">5000000/D$6</f>
        <v>224092.648864747</v>
      </c>
      <c r="E16" s="79" t="n">
        <f aca="false">5000000/E$6</f>
        <v>224092.648864747</v>
      </c>
      <c r="F16" s="79" t="n">
        <f aca="false">5000000/F$6</f>
        <v>268911.178637696</v>
      </c>
      <c r="G16" s="79" t="n">
        <f aca="false">5000000/G$6</f>
        <v>224092.648864747</v>
      </c>
      <c r="H16" s="79" t="n">
        <f aca="false">5000000/H$6</f>
        <v>268911.178637696</v>
      </c>
      <c r="I16" s="79" t="n">
        <f aca="false">5000000/I$6</f>
        <v>224092.648864747</v>
      </c>
      <c r="J16" s="79" t="n">
        <f aca="false">5000000/J$6</f>
        <v>268911.178637696</v>
      </c>
    </row>
    <row r="17" customFormat="false" ht="15" hidden="false" customHeight="true" outlineLevel="0" collapsed="false">
      <c r="B17" s="63" t="s">
        <v>344</v>
      </c>
      <c r="D17" s="79" t="n">
        <f aca="false">1000000/D$6</f>
        <v>44818.5297729493</v>
      </c>
      <c r="E17" s="79" t="n">
        <f aca="false">1000000/E$6</f>
        <v>44818.5297729493</v>
      </c>
      <c r="F17" s="79" t="n">
        <f aca="false">1000000/F$6</f>
        <v>53782.2357275392</v>
      </c>
      <c r="G17" s="79" t="n">
        <f aca="false">1000000/G$6</f>
        <v>44818.5297729493</v>
      </c>
      <c r="H17" s="79" t="n">
        <f aca="false">1000000/H$6</f>
        <v>53782.2357275392</v>
      </c>
      <c r="I17" s="79" t="n">
        <f aca="false">1000000/I$6</f>
        <v>44818.5297729493</v>
      </c>
      <c r="J17" s="79" t="n">
        <f aca="false">1000000/J$6</f>
        <v>53782.2357275392</v>
      </c>
    </row>
    <row r="18" customFormat="false" ht="15" hidden="false" customHeight="true" outlineLevel="0" collapsed="false">
      <c r="B18" s="63" t="s">
        <v>345</v>
      </c>
      <c r="D18" s="79" t="n">
        <f aca="false">3000000/D$6</f>
        <v>134455.589318848</v>
      </c>
      <c r="E18" s="79" t="n">
        <f aca="false">3000000/E$6</f>
        <v>134455.589318848</v>
      </c>
      <c r="F18" s="79" t="n">
        <f aca="false">3000000/F$6</f>
        <v>161346.707182618</v>
      </c>
      <c r="G18" s="79" t="n">
        <f aca="false">3000000/G$6</f>
        <v>134455.589318848</v>
      </c>
      <c r="H18" s="79" t="n">
        <f aca="false">3000000/H$6</f>
        <v>161346.707182618</v>
      </c>
      <c r="I18" s="79" t="n">
        <f aca="false">3000000/I$6</f>
        <v>134455.589318848</v>
      </c>
      <c r="J18" s="79" t="n">
        <f aca="false">3000000/J$6</f>
        <v>161346.707182618</v>
      </c>
    </row>
    <row r="19" customFormat="false" ht="15" hidden="false" customHeight="true" outlineLevel="0" collapsed="false">
      <c r="B19" s="55" t="s">
        <v>346</v>
      </c>
      <c r="D19" s="80" t="n">
        <f aca="false">SUM(D11:D18)</f>
        <v>1792741.19091797</v>
      </c>
      <c r="E19" s="80" t="n">
        <f aca="false">SUM(E11:E18)</f>
        <v>1792741.19091797</v>
      </c>
      <c r="F19" s="80" t="n">
        <f aca="false">SUM(F11:F18)</f>
        <v>2151289.42910157</v>
      </c>
      <c r="G19" s="80" t="n">
        <f aca="false">SUM(G11:G18)</f>
        <v>1792741.19091797</v>
      </c>
      <c r="H19" s="80" t="n">
        <f aca="false">SUM(H11:H18)</f>
        <v>2151289.42910157</v>
      </c>
      <c r="I19" s="80" t="n">
        <f aca="false">SUM(I11:I18)</f>
        <v>1792741.19091797</v>
      </c>
      <c r="J19" s="80" t="n">
        <f aca="false">SUM(J11:J18)</f>
        <v>2151289.42910157</v>
      </c>
    </row>
    <row r="20" customFormat="false" ht="15" hidden="false" customHeight="true" outlineLevel="0" collapsed="false">
      <c r="B20" s="63" t="s">
        <v>347</v>
      </c>
      <c r="D20" s="79" t="n">
        <f aca="false">280000*Inputs!$G$9/Inputs!$G$8</f>
        <v>240808.884825342</v>
      </c>
      <c r="E20" s="79" t="n">
        <f aca="false">280000*Inputs!$G$9/Inputs!$G$8</f>
        <v>240808.884825342</v>
      </c>
      <c r="F20" s="79" t="n">
        <f aca="false">280000*Inputs!$G$9/Inputs!$G$8</f>
        <v>240808.884825342</v>
      </c>
      <c r="G20" s="79" t="n">
        <f aca="false">280000*Inputs!$G$9/Inputs!$G$8</f>
        <v>240808.884825342</v>
      </c>
      <c r="H20" s="79" t="n">
        <f aca="false">280000*Inputs!$G$9/Inputs!$G$8</f>
        <v>240808.884825342</v>
      </c>
      <c r="I20" s="79" t="n">
        <f aca="false">280000*Inputs!$G$9/Inputs!$G$8</f>
        <v>240808.884825342</v>
      </c>
      <c r="J20" s="79" t="n">
        <f aca="false">280000*Inputs!$G$9/Inputs!$G$8</f>
        <v>240808.884825342</v>
      </c>
      <c r="L20" s="62" t="s">
        <v>348</v>
      </c>
    </row>
    <row r="21" customFormat="false" ht="15" hidden="false" customHeight="true" outlineLevel="0" collapsed="false">
      <c r="B21" s="63" t="s">
        <v>349</v>
      </c>
      <c r="D21" s="79" t="n">
        <f aca="false">420000*Inputs!$G$9/Inputs!$G$8</f>
        <v>361213.327238013</v>
      </c>
      <c r="E21" s="79" t="n">
        <f aca="false">420000*Inputs!$G$9/Inputs!$G$8</f>
        <v>361213.327238013</v>
      </c>
      <c r="F21" s="79" t="n">
        <f aca="false">420000*Inputs!$G$9/Inputs!$G$8</f>
        <v>361213.327238013</v>
      </c>
      <c r="G21" s="79" t="n">
        <f aca="false">420000*Inputs!$G$9/Inputs!$G$8</f>
        <v>361213.327238013</v>
      </c>
      <c r="H21" s="79" t="n">
        <f aca="false">420000*Inputs!$G$9/Inputs!$G$8</f>
        <v>361213.327238013</v>
      </c>
      <c r="I21" s="79" t="n">
        <f aca="false">420000*Inputs!$G$9/Inputs!$G$8</f>
        <v>361213.327238013</v>
      </c>
      <c r="J21" s="79" t="n">
        <f aca="false">420000*Inputs!$G$9/Inputs!$G$8</f>
        <v>361213.327238013</v>
      </c>
    </row>
    <row r="22" customFormat="false" ht="15" hidden="false" customHeight="true" outlineLevel="0" collapsed="false">
      <c r="B22" s="63" t="s">
        <v>350</v>
      </c>
      <c r="D22" s="79" t="n">
        <f aca="false">350000*Inputs!$G$9/Inputs!$G$8</f>
        <v>301011.106031678</v>
      </c>
      <c r="E22" s="79" t="n">
        <f aca="false">350000*Inputs!$G$9/Inputs!$G$8</f>
        <v>301011.106031678</v>
      </c>
      <c r="F22" s="79" t="n">
        <f aca="false">350000*Inputs!$G$9/Inputs!$G$8</f>
        <v>301011.106031678</v>
      </c>
      <c r="G22" s="79" t="n">
        <f aca="false">350000*Inputs!$G$9/Inputs!$G$8</f>
        <v>301011.106031678</v>
      </c>
      <c r="H22" s="79" t="n">
        <f aca="false">350000*Inputs!$G$9/Inputs!$G$8</f>
        <v>301011.106031678</v>
      </c>
      <c r="I22" s="79" t="n">
        <f aca="false">350000*Inputs!$G$9/Inputs!$G$8</f>
        <v>301011.106031678</v>
      </c>
      <c r="J22" s="79" t="n">
        <f aca="false">350000*Inputs!$G$9/Inputs!$G$8</f>
        <v>301011.106031678</v>
      </c>
    </row>
    <row r="23" customFormat="false" ht="15" hidden="false" customHeight="true" outlineLevel="0" collapsed="false">
      <c r="B23" s="55" t="s">
        <v>351</v>
      </c>
      <c r="D23" s="80" t="n">
        <f aca="false">SUM(D20:D22)</f>
        <v>903033.318095033</v>
      </c>
      <c r="E23" s="80" t="n">
        <f aca="false">SUM(E20:E22)</f>
        <v>903033.318095033</v>
      </c>
      <c r="F23" s="80" t="n">
        <f aca="false">SUM(F20:F22)</f>
        <v>903033.318095033</v>
      </c>
      <c r="G23" s="80" t="n">
        <f aca="false">SUM(G20:G22)</f>
        <v>903033.318095033</v>
      </c>
      <c r="H23" s="80" t="n">
        <f aca="false">SUM(H20:H22)</f>
        <v>903033.318095033</v>
      </c>
      <c r="I23" s="80" t="n">
        <f aca="false">SUM(I20:I22)</f>
        <v>903033.318095033</v>
      </c>
      <c r="J23" s="80" t="n">
        <f aca="false">SUM(J20:J22)</f>
        <v>903033.318095033</v>
      </c>
    </row>
    <row r="24" customFormat="false" ht="15" hidden="false" customHeight="true" outlineLevel="0" collapsed="false">
      <c r="B24" s="55" t="s">
        <v>352</v>
      </c>
      <c r="D24" s="80" t="n">
        <f aca="false">(D19+D23)*D7</f>
        <v>2695774.50901301</v>
      </c>
      <c r="E24" s="80" t="n">
        <f aca="false">(E19+E23)*E7</f>
        <v>2695774.50901301</v>
      </c>
      <c r="F24" s="80" t="n">
        <f aca="false">(F19+F23)*F7</f>
        <v>3054322.7471966</v>
      </c>
      <c r="G24" s="80" t="n">
        <f aca="false">(G19+G23)*G7</f>
        <v>3234929.41081561</v>
      </c>
      <c r="H24" s="80" t="n">
        <f aca="false">(H19+H23)*H7</f>
        <v>3665187.29663592</v>
      </c>
      <c r="I24" s="80" t="n">
        <f aca="false">(I19+I23)*I7</f>
        <v>2695774.50901301</v>
      </c>
      <c r="J24" s="80" t="n">
        <f aca="false">(J19+J23)*J7</f>
        <v>3665187.29663592</v>
      </c>
    </row>
    <row r="25" customFormat="false" ht="15" hidden="false" customHeight="true" outlineLevel="0" collapsed="false">
      <c r="B25" s="63" t="s">
        <v>353</v>
      </c>
      <c r="D25" s="79" t="n">
        <f aca="false">D24*0.05</f>
        <v>134788.72545065</v>
      </c>
      <c r="E25" s="79" t="n">
        <f aca="false">E24*0.05</f>
        <v>134788.72545065</v>
      </c>
      <c r="F25" s="79" t="n">
        <f aca="false">F24*0.05</f>
        <v>152716.13735983</v>
      </c>
      <c r="G25" s="79" t="n">
        <f aca="false">G24*0.05</f>
        <v>161746.47054078</v>
      </c>
      <c r="H25" s="79" t="n">
        <f aca="false">H24*0.05</f>
        <v>183259.364831796</v>
      </c>
      <c r="I25" s="79" t="n">
        <f aca="false">I24*0.05</f>
        <v>134788.72545065</v>
      </c>
      <c r="J25" s="79" t="n">
        <f aca="false">J24*0.05</f>
        <v>183259.364831796</v>
      </c>
    </row>
    <row r="26" customFormat="false" ht="15" hidden="false" customHeight="true" outlineLevel="0" collapsed="false">
      <c r="B26" s="63" t="s">
        <v>354</v>
      </c>
      <c r="D26" s="81" t="n">
        <f aca="false">0.25*(D24+D25)</f>
        <v>707640.808615914</v>
      </c>
      <c r="E26" s="79" t="n">
        <f aca="false">0.25*(E24+E25)</f>
        <v>707640.808615914</v>
      </c>
      <c r="F26" s="79" t="n">
        <f aca="false">0.25*(F24+F25)</f>
        <v>801759.721139108</v>
      </c>
      <c r="G26" s="79" t="n">
        <f aca="false">0.25*(G24+G25)</f>
        <v>849168.970339097</v>
      </c>
      <c r="H26" s="79" t="n">
        <f aca="false">0.25*(H24+H25)</f>
        <v>962111.665366929</v>
      </c>
      <c r="I26" s="79" t="n">
        <f aca="false">0.25*(I24+I25)</f>
        <v>707640.808615914</v>
      </c>
      <c r="J26" s="79" t="n">
        <f aca="false">0.25*(J24+J25)</f>
        <v>962111.665366929</v>
      </c>
    </row>
    <row r="27" customFormat="false" ht="15" hidden="false" customHeight="true" outlineLevel="0" collapsed="false">
      <c r="B27" s="63" t="s">
        <v>355</v>
      </c>
      <c r="D27" s="79" t="n">
        <f aca="false">IF(D8&gt;0,0.03*D24*1.05,0)</f>
        <v>0</v>
      </c>
      <c r="E27" s="79" t="n">
        <f aca="false">IF(E8&gt;0,0.03*E24*1.05,0)</f>
        <v>0</v>
      </c>
      <c r="F27" s="79" t="n">
        <f aca="false">IF(F8&gt;0,0.03*F24*1.05,0)</f>
        <v>0</v>
      </c>
      <c r="G27" s="79" t="n">
        <f aca="false">IF(G8&gt;0,0.03*G24*1.05,0)</f>
        <v>0</v>
      </c>
      <c r="H27" s="79" t="n">
        <f aca="false">IF(H8&gt;0,0.03*H24*1.05,0)</f>
        <v>0</v>
      </c>
      <c r="I27" s="79" t="n">
        <f aca="false">IF(I8&gt;0,0.03*I24*1.05,0)</f>
        <v>84916.8970339097</v>
      </c>
      <c r="J27" s="79" t="n">
        <f aca="false">IF(J8&gt;0,0.03*J24*1.05,0)</f>
        <v>115453.399844032</v>
      </c>
    </row>
    <row r="28" customFormat="false" ht="15" hidden="false" customHeight="true" outlineLevel="0" collapsed="false">
      <c r="B28" s="55" t="s">
        <v>356</v>
      </c>
      <c r="D28" s="80" t="n">
        <f aca="false">D24+D25+D26+D27</f>
        <v>3538204.04307957</v>
      </c>
      <c r="E28" s="80" t="n">
        <f aca="false">E24+E25+E26+E27</f>
        <v>3538204.04307957</v>
      </c>
      <c r="F28" s="80" t="n">
        <f aca="false">F24+F25+F26+F27</f>
        <v>4008798.60569554</v>
      </c>
      <c r="G28" s="80" t="n">
        <f aca="false">G24+G25+G26+G27</f>
        <v>4245844.85169549</v>
      </c>
      <c r="H28" s="80" t="n">
        <f aca="false">H24+H25+H26+H27</f>
        <v>4810558.32683465</v>
      </c>
      <c r="I28" s="80" t="n">
        <f aca="false">I24+I25+I26+I27</f>
        <v>3623120.94011348</v>
      </c>
      <c r="J28" s="80" t="n">
        <f aca="false">J24+J25+J26+J27</f>
        <v>4926011.72667868</v>
      </c>
    </row>
    <row r="29" customFormat="false" ht="15" hidden="false" customHeight="true" outlineLevel="0" collapsed="false">
      <c r="B29" s="63" t="s">
        <v>357</v>
      </c>
      <c r="D29" s="79" t="n">
        <f aca="false">3000000/D6</f>
        <v>134455.589318848</v>
      </c>
      <c r="E29" s="79" t="n">
        <f aca="false">3000000/E6</f>
        <v>134455.589318848</v>
      </c>
      <c r="F29" s="79" t="n">
        <f aca="false">3000000/F6</f>
        <v>161346.707182618</v>
      </c>
      <c r="G29" s="79" t="n">
        <f aca="false">3000000/G6</f>
        <v>134455.589318848</v>
      </c>
      <c r="H29" s="79" t="n">
        <f aca="false">3000000/H6</f>
        <v>161346.707182618</v>
      </c>
      <c r="I29" s="79" t="n">
        <f aca="false">3000000/I6</f>
        <v>134455.589318848</v>
      </c>
      <c r="J29" s="79" t="n">
        <f aca="false">3000000/J6</f>
        <v>161346.707182618</v>
      </c>
    </row>
    <row r="30" customFormat="false" ht="15" hidden="false" customHeight="true" outlineLevel="0" collapsed="false">
      <c r="B30" s="63" t="s">
        <v>358</v>
      </c>
      <c r="D30" s="79" t="n">
        <v>0</v>
      </c>
      <c r="E30" s="79" t="n">
        <v>0</v>
      </c>
      <c r="F30" s="79" t="n">
        <v>0</v>
      </c>
      <c r="G30" s="79" t="n">
        <v>0</v>
      </c>
      <c r="H30" s="79" t="n">
        <v>0</v>
      </c>
      <c r="I30" s="79" t="n">
        <v>0</v>
      </c>
      <c r="J30" s="79" t="n">
        <v>0</v>
      </c>
    </row>
    <row r="31" customFormat="false" ht="15" hidden="false" customHeight="true" outlineLevel="0" collapsed="false">
      <c r="B31" s="63" t="s">
        <v>359</v>
      </c>
      <c r="D31" s="79" t="n">
        <f aca="false">100000</f>
        <v>100000</v>
      </c>
      <c r="E31" s="79" t="n">
        <f aca="false">100000</f>
        <v>100000</v>
      </c>
      <c r="F31" s="79" t="n">
        <f aca="false">100000</f>
        <v>100000</v>
      </c>
      <c r="G31" s="79" t="n">
        <f aca="false">100000</f>
        <v>100000</v>
      </c>
      <c r="H31" s="79" t="n">
        <f aca="false">100000</f>
        <v>100000</v>
      </c>
      <c r="I31" s="79" t="n">
        <f aca="false">100000</f>
        <v>100000</v>
      </c>
      <c r="J31" s="79" t="n">
        <f aca="false">100000</f>
        <v>100000</v>
      </c>
    </row>
    <row r="32" customFormat="false" ht="15" hidden="false" customHeight="true" outlineLevel="0" collapsed="false">
      <c r="B32" s="63" t="s">
        <v>360</v>
      </c>
      <c r="D32" s="79" t="n">
        <f aca="false">0.2*(D29+D30+D31)</f>
        <v>46891.1178637696</v>
      </c>
      <c r="E32" s="79" t="n">
        <f aca="false">0.2*(E29+E30+E31)</f>
        <v>46891.1178637696</v>
      </c>
      <c r="F32" s="79" t="n">
        <f aca="false">0.2*(F29+F30+F31)</f>
        <v>52269.3414365235</v>
      </c>
      <c r="G32" s="79" t="n">
        <f aca="false">0.2*(G29+G30+G31)</f>
        <v>46891.1178637696</v>
      </c>
      <c r="H32" s="79" t="n">
        <f aca="false">0.2*(H29+H30+H31)</f>
        <v>52269.3414365235</v>
      </c>
      <c r="I32" s="79" t="n">
        <f aca="false">0.2*(I29+I30+I31)</f>
        <v>46891.1178637696</v>
      </c>
      <c r="J32" s="79" t="n">
        <f aca="false">0.2*(J29+J30+J31)</f>
        <v>52269.3414365235</v>
      </c>
    </row>
    <row r="33" customFormat="false" ht="15" hidden="false" customHeight="true" outlineLevel="0" collapsed="false">
      <c r="B33" s="63" t="s">
        <v>361</v>
      </c>
      <c r="D33" s="79" t="n">
        <f aca="false">IF(D8&gt;0,D8*(250000/D6+10000),0)</f>
        <v>0</v>
      </c>
      <c r="E33" s="79" t="n">
        <f aca="false">IF(E8&gt;0,E8*(250000/E6+10000),0)</f>
        <v>0</v>
      </c>
      <c r="F33" s="79" t="n">
        <f aca="false">IF(F8&gt;0,F8*(250000/F6+10000),0)</f>
        <v>0</v>
      </c>
      <c r="G33" s="79" t="n">
        <f aca="false">IF(G8&gt;0,G8*(250000/G6+10000),0)</f>
        <v>0</v>
      </c>
      <c r="H33" s="79" t="n">
        <f aca="false">IF(H8&gt;0,H8*(250000/H6+10000),0)</f>
        <v>0</v>
      </c>
      <c r="I33" s="79" t="n">
        <f aca="false">IF(I8&gt;0,I8*(250000/I6+10000),0)</f>
        <v>127227.794659424</v>
      </c>
      <c r="J33" s="79" t="n">
        <f aca="false">IF(J8&gt;0,J8*(250000/J6+10000),0)</f>
        <v>140673.353591309</v>
      </c>
      <c r="L33" s="1" t="s">
        <v>362</v>
      </c>
    </row>
    <row r="34" customFormat="false" ht="15" hidden="false" customHeight="true" outlineLevel="0" collapsed="false">
      <c r="B34" s="55" t="s">
        <v>363</v>
      </c>
      <c r="D34" s="80" t="n">
        <f aca="false">SUM(D29:D33)</f>
        <v>281346.707182618</v>
      </c>
      <c r="E34" s="80" t="n">
        <f aca="false">SUM(E29:E33)</f>
        <v>281346.707182618</v>
      </c>
      <c r="F34" s="80" t="n">
        <f aca="false">SUM(F29:F33)</f>
        <v>313616.048619141</v>
      </c>
      <c r="G34" s="80" t="n">
        <f aca="false">SUM(G29:G33)</f>
        <v>281346.707182618</v>
      </c>
      <c r="H34" s="80" t="n">
        <f aca="false">SUM(H29:H33)</f>
        <v>313616.048619141</v>
      </c>
      <c r="I34" s="80" t="n">
        <f aca="false">SUM(I29:I33)</f>
        <v>408574.501842042</v>
      </c>
      <c r="J34" s="80" t="n">
        <f aca="false">SUM(J29:J33)</f>
        <v>454289.40221045</v>
      </c>
    </row>
    <row r="35" customFormat="false" ht="15" hidden="false" customHeight="true" outlineLevel="0" collapsed="false">
      <c r="B35" s="63" t="s">
        <v>364</v>
      </c>
      <c r="D35" s="79" t="n">
        <v>0</v>
      </c>
      <c r="E35" s="79" t="n">
        <v>0</v>
      </c>
      <c r="F35" s="79" t="n">
        <v>0</v>
      </c>
      <c r="G35" s="79" t="n">
        <v>0</v>
      </c>
      <c r="H35" s="79" t="n">
        <v>0</v>
      </c>
      <c r="I35" s="79" t="n">
        <v>0</v>
      </c>
      <c r="J35" s="79" t="n">
        <v>0</v>
      </c>
    </row>
    <row r="36" customFormat="false" ht="15" hidden="false" customHeight="true" outlineLevel="0" collapsed="false">
      <c r="B36" s="55" t="s">
        <v>365</v>
      </c>
      <c r="D36" s="80" t="n">
        <f aca="false">D24+D25+D26+D27+D34+D35</f>
        <v>3819550.75026219</v>
      </c>
      <c r="E36" s="80" t="n">
        <f aca="false">E24+E25+E26+E27+E34+E35</f>
        <v>3819550.75026219</v>
      </c>
      <c r="F36" s="80" t="n">
        <f aca="false">F24+F25+F26+F27+F34+F35</f>
        <v>4322414.65431468</v>
      </c>
      <c r="G36" s="80" t="n">
        <f aca="false">G24+G25+G26+G27+G34+G35</f>
        <v>4527191.5588781</v>
      </c>
      <c r="H36" s="80" t="n">
        <f aca="false">H24+H25+H26+H27+H34+H35</f>
        <v>5124174.37545379</v>
      </c>
      <c r="I36" s="80" t="n">
        <f aca="false">I24+I25+I26+I27+I34+I35</f>
        <v>4031695.44195552</v>
      </c>
      <c r="J36" s="80" t="n">
        <f aca="false">J24+J25+J26+J27+J34+J35</f>
        <v>5380301.12888913</v>
      </c>
    </row>
    <row r="37" customFormat="false" ht="15" hidden="false" customHeight="true" outlineLevel="0" collapsed="false">
      <c r="B37" s="55" t="s">
        <v>366</v>
      </c>
      <c r="D37" s="80" t="n">
        <f aca="false">$D$36+$D$38</f>
        <v>4619550.75026219</v>
      </c>
      <c r="E37" s="80" t="n">
        <f aca="false">$D$36+$D$38</f>
        <v>4619550.75026219</v>
      </c>
      <c r="F37" s="80" t="n">
        <f aca="false">$D$36+$D$38</f>
        <v>4619550.75026219</v>
      </c>
      <c r="G37" s="80" t="n">
        <f aca="false">$D$36+$D$38</f>
        <v>4619550.75026219</v>
      </c>
      <c r="H37" s="80" t="n">
        <f aca="false">$D$36+$D$38</f>
        <v>4619550.75026219</v>
      </c>
      <c r="I37" s="80" t="n">
        <f aca="false">$D$36+$D$38</f>
        <v>4619550.75026219</v>
      </c>
      <c r="J37" s="80" t="n">
        <f aca="false">$D$36+$D$38</f>
        <v>4619550.75026219</v>
      </c>
      <c r="L37" s="62" t="s">
        <v>367</v>
      </c>
    </row>
    <row r="38" customFormat="false" ht="15" hidden="false" customHeight="true" outlineLevel="0" collapsed="false">
      <c r="B38" s="63" t="s">
        <v>368</v>
      </c>
      <c r="D38" s="82" t="n">
        <f aca="false">Inputs!D55</f>
        <v>800000</v>
      </c>
    </row>
    <row r="39" customFormat="false" ht="15" hidden="false" customHeight="true" outlineLevel="0" collapsed="false">
      <c r="B39" s="55" t="s">
        <v>369</v>
      </c>
      <c r="D39" s="80" t="n">
        <f aca="false">D37-D36</f>
        <v>800000</v>
      </c>
      <c r="E39" s="80" t="n">
        <f aca="false">E37-E36</f>
        <v>800000</v>
      </c>
      <c r="F39" s="80" t="n">
        <f aca="false">F37-F36</f>
        <v>297136.095947508</v>
      </c>
      <c r="G39" s="80" t="n">
        <f aca="false">G37-G36</f>
        <v>92359.1913840845</v>
      </c>
      <c r="H39" s="80" t="n">
        <f aca="false">H37-H36</f>
        <v>-504623.625191599</v>
      </c>
      <c r="I39" s="80" t="n">
        <f aca="false">I37-I36</f>
        <v>587855.308306666</v>
      </c>
      <c r="J39" s="80" t="n">
        <f aca="false">J37-J36</f>
        <v>-760750.37862694</v>
      </c>
    </row>
    <row r="40" customFormat="false" ht="15" hidden="false" customHeight="true" outlineLevel="0" collapsed="false">
      <c r="B40" s="63" t="s">
        <v>370</v>
      </c>
      <c r="D40" s="82" t="n">
        <f aca="false">ROUNDUP(MAX(Stress!D19:J19)/10000,0)*10000</f>
        <v>1210000</v>
      </c>
      <c r="L40" s="62" t="s">
        <v>371</v>
      </c>
    </row>
    <row r="41" customFormat="false" ht="15" hidden="false" customHeight="true" outlineLevel="0" collapsed="false">
      <c r="B41" s="55" t="s">
        <v>372</v>
      </c>
      <c r="D41" s="80" t="n">
        <f aca="false">D37+D40</f>
        <v>5829550.75026219</v>
      </c>
    </row>
    <row r="43" customFormat="false" ht="15" hidden="false" customHeight="true" outlineLevel="0" collapsed="false">
      <c r="B43" s="63" t="s">
        <v>373</v>
      </c>
      <c r="D43" s="58" t="n">
        <f aca="false">IF(D24+D25+D26=0,1,D28/(D24+D25+D26))</f>
        <v>1</v>
      </c>
      <c r="E43" s="58" t="n">
        <f aca="false">IF(E24+E25+E26=0,1,E28/(E24+E25+E26))</f>
        <v>1</v>
      </c>
      <c r="F43" s="58" t="n">
        <f aca="false">IF(F24+F25+F26=0,1,F28/(F24+F25+F26))</f>
        <v>1</v>
      </c>
      <c r="G43" s="58" t="n">
        <f aca="false">IF(G24+G25+G26=0,1,G28/(G24+G25+G26))</f>
        <v>1</v>
      </c>
      <c r="H43" s="58" t="n">
        <f aca="false">IF(H24+H25+H26=0,1,H28/(H24+H25+H26))</f>
        <v>1</v>
      </c>
      <c r="I43" s="58" t="n">
        <f aca="false">IF(I24+I25+I26=0,1,I28/(I24+I25+I26))</f>
        <v>1.024</v>
      </c>
      <c r="J43" s="58" t="n">
        <f aca="false">IF(J24+J25+J26=0,1,J28/(J24+J25+J26))</f>
        <v>1.024</v>
      </c>
    </row>
    <row r="45" customFormat="false" ht="15" hidden="false" customHeight="true" outlineLevel="0" collapsed="false">
      <c r="B45" s="62" t="s">
        <v>374</v>
      </c>
    </row>
    <row r="46" customFormat="false" ht="15" hidden="false" customHeight="true" outlineLevel="0" collapsed="false">
      <c r="B46" s="62" t="s">
        <v>375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S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6"/>
    <col collapsed="false" customWidth="true" hidden="false" outlineLevel="0" max="3" min="3" style="1" width="30"/>
    <col collapsed="false" customWidth="true" hidden="false" outlineLevel="0" max="6" min="4" style="1" width="14"/>
    <col collapsed="false" customWidth="true" hidden="false" outlineLevel="0" max="18" min="7" style="1" width="6"/>
  </cols>
  <sheetData>
    <row r="2" customFormat="false" ht="15" hidden="false" customHeight="true" outlineLevel="0" collapsed="false">
      <c r="B2" s="37" t="s">
        <v>376</v>
      </c>
    </row>
    <row r="3" customFormat="false" ht="15" hidden="false" customHeight="true" outlineLevel="0" collapsed="false">
      <c r="B3" s="37" t="s">
        <v>377</v>
      </c>
      <c r="C3" s="37" t="s">
        <v>378</v>
      </c>
      <c r="D3" s="37" t="s">
        <v>233</v>
      </c>
      <c r="E3" s="37" t="s">
        <v>379</v>
      </c>
      <c r="F3" s="37" t="s">
        <v>380</v>
      </c>
      <c r="G3" s="37" t="s">
        <v>138</v>
      </c>
      <c r="H3" s="37" t="s">
        <v>139</v>
      </c>
      <c r="I3" s="37" t="s">
        <v>140</v>
      </c>
      <c r="J3" s="37" t="s">
        <v>141</v>
      </c>
      <c r="K3" s="37" t="s">
        <v>142</v>
      </c>
      <c r="L3" s="37" t="s">
        <v>143</v>
      </c>
      <c r="M3" s="37" t="s">
        <v>144</v>
      </c>
      <c r="N3" s="37" t="s">
        <v>145</v>
      </c>
      <c r="O3" s="37" t="s">
        <v>146</v>
      </c>
      <c r="P3" s="37" t="s">
        <v>147</v>
      </c>
      <c r="Q3" s="37" t="s">
        <v>148</v>
      </c>
      <c r="R3" s="37" t="s">
        <v>149</v>
      </c>
      <c r="S3" s="37" t="s">
        <v>381</v>
      </c>
    </row>
    <row r="4" customFormat="false" ht="15" hidden="false" customHeight="true" outlineLevel="0" collapsed="false">
      <c r="B4" s="44" t="n">
        <v>1</v>
      </c>
      <c r="C4" s="38" t="s">
        <v>382</v>
      </c>
      <c r="D4" s="68" t="n">
        <v>20</v>
      </c>
      <c r="E4" s="44" t="n">
        <f aca="false">SUM(G4:R4)</f>
        <v>40</v>
      </c>
      <c r="F4" s="44" t="n">
        <f aca="false">D4*E4</f>
        <v>800</v>
      </c>
      <c r="G4" s="68" t="n">
        <v>0</v>
      </c>
      <c r="H4" s="68" t="n">
        <v>4</v>
      </c>
      <c r="I4" s="68" t="n">
        <v>4</v>
      </c>
      <c r="J4" s="68" t="n">
        <v>4</v>
      </c>
      <c r="K4" s="68" t="n">
        <v>4</v>
      </c>
      <c r="L4" s="68" t="n">
        <v>4</v>
      </c>
      <c r="M4" s="68" t="n">
        <v>4</v>
      </c>
      <c r="N4" s="68" t="n">
        <v>4</v>
      </c>
      <c r="O4" s="68" t="n">
        <v>4</v>
      </c>
      <c r="P4" s="68" t="n">
        <v>4</v>
      </c>
      <c r="Q4" s="68" t="n">
        <v>4</v>
      </c>
      <c r="R4" s="68" t="n">
        <v>0</v>
      </c>
      <c r="S4" s="38" t="s">
        <v>383</v>
      </c>
    </row>
    <row r="5" customFormat="false" ht="15" hidden="false" customHeight="true" outlineLevel="0" collapsed="false">
      <c r="B5" s="44" t="n">
        <v>2</v>
      </c>
      <c r="C5" s="38" t="s">
        <v>384</v>
      </c>
      <c r="D5" s="68" t="n">
        <v>20</v>
      </c>
      <c r="E5" s="44" t="n">
        <f aca="false">SUM(G5:R5)</f>
        <v>40</v>
      </c>
      <c r="F5" s="44" t="n">
        <f aca="false">D5*E5</f>
        <v>800</v>
      </c>
      <c r="G5" s="68" t="n">
        <v>0</v>
      </c>
      <c r="H5" s="68" t="n">
        <v>4</v>
      </c>
      <c r="I5" s="68" t="n">
        <v>4</v>
      </c>
      <c r="J5" s="68" t="n">
        <v>4</v>
      </c>
      <c r="K5" s="68" t="n">
        <v>4</v>
      </c>
      <c r="L5" s="68" t="n">
        <v>4</v>
      </c>
      <c r="M5" s="68" t="n">
        <v>4</v>
      </c>
      <c r="N5" s="68" t="n">
        <v>4</v>
      </c>
      <c r="O5" s="68" t="n">
        <v>4</v>
      </c>
      <c r="P5" s="68" t="n">
        <v>4</v>
      </c>
      <c r="Q5" s="68" t="n">
        <v>4</v>
      </c>
      <c r="R5" s="68" t="n">
        <v>0</v>
      </c>
      <c r="S5" s="38" t="s">
        <v>383</v>
      </c>
    </row>
    <row r="6" customFormat="false" ht="15" hidden="false" customHeight="true" outlineLevel="0" collapsed="false">
      <c r="B6" s="44" t="n">
        <v>3</v>
      </c>
      <c r="C6" s="38" t="s">
        <v>385</v>
      </c>
      <c r="D6" s="68" t="n">
        <v>16</v>
      </c>
      <c r="E6" s="44" t="n">
        <f aca="false">SUM(G6:R6)</f>
        <v>32</v>
      </c>
      <c r="F6" s="44" t="n">
        <f aca="false">D6*E6</f>
        <v>512</v>
      </c>
      <c r="G6" s="68" t="n">
        <v>2</v>
      </c>
      <c r="H6" s="68" t="n">
        <v>3</v>
      </c>
      <c r="I6" s="68" t="n">
        <v>4</v>
      </c>
      <c r="J6" s="68" t="n">
        <v>4</v>
      </c>
      <c r="K6" s="68" t="n">
        <v>4</v>
      </c>
      <c r="L6" s="68" t="n">
        <v>2</v>
      </c>
      <c r="M6" s="68" t="n">
        <v>0</v>
      </c>
      <c r="N6" s="68" t="n">
        <v>0</v>
      </c>
      <c r="O6" s="68" t="n">
        <v>4</v>
      </c>
      <c r="P6" s="68" t="n">
        <v>4</v>
      </c>
      <c r="Q6" s="68" t="n">
        <v>3</v>
      </c>
      <c r="R6" s="68" t="n">
        <v>2</v>
      </c>
      <c r="S6" s="38" t="s">
        <v>383</v>
      </c>
    </row>
    <row r="7" customFormat="false" ht="15" hidden="false" customHeight="true" outlineLevel="0" collapsed="false">
      <c r="B7" s="44" t="n">
        <v>4</v>
      </c>
      <c r="C7" s="38" t="s">
        <v>386</v>
      </c>
      <c r="D7" s="68" t="n">
        <v>16</v>
      </c>
      <c r="E7" s="44" t="n">
        <f aca="false">SUM(G7:R7)</f>
        <v>26</v>
      </c>
      <c r="F7" s="44" t="n">
        <f aca="false">D7*E7</f>
        <v>416</v>
      </c>
      <c r="G7" s="68" t="n">
        <v>0</v>
      </c>
      <c r="H7" s="68" t="n">
        <v>0</v>
      </c>
      <c r="I7" s="68" t="n">
        <v>0</v>
      </c>
      <c r="J7" s="68" t="n">
        <v>2</v>
      </c>
      <c r="K7" s="68" t="n">
        <v>4</v>
      </c>
      <c r="L7" s="68" t="n">
        <v>4</v>
      </c>
      <c r="M7" s="68" t="n">
        <v>4</v>
      </c>
      <c r="N7" s="68" t="n">
        <v>4</v>
      </c>
      <c r="O7" s="68" t="n">
        <v>4</v>
      </c>
      <c r="P7" s="68" t="n">
        <v>4</v>
      </c>
      <c r="Q7" s="68" t="n">
        <v>0</v>
      </c>
      <c r="R7" s="68" t="n">
        <v>0</v>
      </c>
      <c r="S7" s="38" t="s">
        <v>383</v>
      </c>
    </row>
    <row r="8" customFormat="false" ht="15" hidden="false" customHeight="true" outlineLevel="0" collapsed="false">
      <c r="B8" s="44" t="n">
        <v>5</v>
      </c>
      <c r="C8" s="83" t="s">
        <v>387</v>
      </c>
      <c r="D8" s="72" t="n">
        <v>20</v>
      </c>
      <c r="E8" s="84" t="n">
        <f aca="false">SUM(G8:R8)</f>
        <v>40</v>
      </c>
      <c r="F8" s="84" t="n">
        <f aca="false">D8*E8</f>
        <v>800</v>
      </c>
      <c r="G8" s="68" t="n">
        <v>0</v>
      </c>
      <c r="H8" s="68" t="n">
        <v>0</v>
      </c>
      <c r="I8" s="68" t="n">
        <v>4</v>
      </c>
      <c r="J8" s="68" t="n">
        <v>4</v>
      </c>
      <c r="K8" s="68" t="n">
        <v>4</v>
      </c>
      <c r="L8" s="68" t="n">
        <v>4</v>
      </c>
      <c r="M8" s="68" t="n">
        <v>4</v>
      </c>
      <c r="N8" s="68" t="n">
        <v>4</v>
      </c>
      <c r="O8" s="68" t="n">
        <v>4</v>
      </c>
      <c r="P8" s="68" t="n">
        <v>4</v>
      </c>
      <c r="Q8" s="68" t="n">
        <v>4</v>
      </c>
      <c r="R8" s="68" t="n">
        <v>4</v>
      </c>
      <c r="S8" s="85" t="s">
        <v>388</v>
      </c>
    </row>
    <row r="9" customFormat="false" ht="15" hidden="false" customHeight="true" outlineLevel="0" collapsed="false">
      <c r="B9" s="44" t="n">
        <v>6</v>
      </c>
      <c r="C9" s="38" t="s">
        <v>389</v>
      </c>
      <c r="D9" s="68" t="n">
        <v>16</v>
      </c>
      <c r="E9" s="44" t="n">
        <f aca="false">SUM(G9:R9)</f>
        <v>36</v>
      </c>
      <c r="F9" s="44" t="n">
        <f aca="false">D9*E9</f>
        <v>576</v>
      </c>
      <c r="G9" s="68" t="n">
        <v>0</v>
      </c>
      <c r="H9" s="68" t="n">
        <v>0</v>
      </c>
      <c r="I9" s="68" t="n">
        <v>4</v>
      </c>
      <c r="J9" s="68" t="n">
        <v>4</v>
      </c>
      <c r="K9" s="68" t="n">
        <v>4</v>
      </c>
      <c r="L9" s="68" t="n">
        <v>4</v>
      </c>
      <c r="M9" s="68" t="n">
        <v>4</v>
      </c>
      <c r="N9" s="68" t="n">
        <v>4</v>
      </c>
      <c r="O9" s="68" t="n">
        <v>4</v>
      </c>
      <c r="P9" s="68" t="n">
        <v>4</v>
      </c>
      <c r="Q9" s="68" t="n">
        <v>4</v>
      </c>
      <c r="R9" s="68" t="n">
        <v>0</v>
      </c>
      <c r="S9" s="38" t="s">
        <v>383</v>
      </c>
    </row>
    <row r="10" customFormat="false" ht="15" hidden="false" customHeight="true" outlineLevel="0" collapsed="false">
      <c r="B10" s="44" t="n">
        <v>7</v>
      </c>
      <c r="C10" s="38" t="s">
        <v>390</v>
      </c>
      <c r="D10" s="68" t="n">
        <v>20</v>
      </c>
      <c r="E10" s="44" t="n">
        <f aca="false">SUM(G10:R10)</f>
        <v>40</v>
      </c>
      <c r="F10" s="44" t="n">
        <f aca="false">D10*E10</f>
        <v>800</v>
      </c>
      <c r="G10" s="68" t="n">
        <v>4</v>
      </c>
      <c r="H10" s="68" t="n">
        <v>4</v>
      </c>
      <c r="I10" s="68" t="n">
        <v>4</v>
      </c>
      <c r="J10" s="68" t="n">
        <v>2</v>
      </c>
      <c r="K10" s="68" t="n">
        <v>2</v>
      </c>
      <c r="L10" s="68" t="n">
        <v>4</v>
      </c>
      <c r="M10" s="68" t="n">
        <v>4</v>
      </c>
      <c r="N10" s="68" t="n">
        <v>4</v>
      </c>
      <c r="O10" s="68" t="n">
        <v>4</v>
      </c>
      <c r="P10" s="68" t="n">
        <v>4</v>
      </c>
      <c r="Q10" s="68" t="n">
        <v>0</v>
      </c>
      <c r="R10" s="68" t="n">
        <v>4</v>
      </c>
      <c r="S10" s="38" t="s">
        <v>383</v>
      </c>
    </row>
    <row r="11" customFormat="false" ht="15" hidden="false" customHeight="true" outlineLevel="0" collapsed="false">
      <c r="B11" s="44" t="n">
        <v>8</v>
      </c>
      <c r="C11" s="38" t="s">
        <v>391</v>
      </c>
      <c r="D11" s="68" t="n">
        <v>20</v>
      </c>
      <c r="E11" s="44" t="n">
        <f aca="false">SUM(G11:R11)</f>
        <v>40</v>
      </c>
      <c r="F11" s="44" t="n">
        <f aca="false">D11*E11</f>
        <v>800</v>
      </c>
      <c r="G11" s="68" t="n">
        <v>4</v>
      </c>
      <c r="H11" s="68" t="n">
        <v>4</v>
      </c>
      <c r="I11" s="68" t="n">
        <v>4</v>
      </c>
      <c r="J11" s="68" t="n">
        <v>4</v>
      </c>
      <c r="K11" s="68" t="n">
        <v>3</v>
      </c>
      <c r="L11" s="68" t="n">
        <v>1</v>
      </c>
      <c r="M11" s="68" t="n">
        <v>1</v>
      </c>
      <c r="N11" s="68" t="n">
        <v>3</v>
      </c>
      <c r="O11" s="68" t="n">
        <v>4</v>
      </c>
      <c r="P11" s="68" t="n">
        <v>4</v>
      </c>
      <c r="Q11" s="68" t="n">
        <v>4</v>
      </c>
      <c r="R11" s="68" t="n">
        <v>4</v>
      </c>
      <c r="S11" s="38" t="s">
        <v>383</v>
      </c>
    </row>
    <row r="12" customFormat="false" ht="15" hidden="false" customHeight="true" outlineLevel="0" collapsed="false">
      <c r="B12" s="44" t="n">
        <v>9</v>
      </c>
      <c r="C12" s="38" t="s">
        <v>392</v>
      </c>
      <c r="D12" s="68" t="n">
        <v>16</v>
      </c>
      <c r="E12" s="44" t="n">
        <f aca="false">SUM(G12:R12)</f>
        <v>32</v>
      </c>
      <c r="F12" s="44" t="n">
        <f aca="false">D12*E12</f>
        <v>512</v>
      </c>
      <c r="G12" s="68" t="n">
        <v>3</v>
      </c>
      <c r="H12" s="68" t="n">
        <v>3</v>
      </c>
      <c r="I12" s="68" t="n">
        <v>4</v>
      </c>
      <c r="J12" s="68" t="n">
        <v>4</v>
      </c>
      <c r="K12" s="68" t="n">
        <v>2</v>
      </c>
      <c r="L12" s="68" t="n">
        <v>0</v>
      </c>
      <c r="M12" s="68" t="n">
        <v>0</v>
      </c>
      <c r="N12" s="68" t="n">
        <v>0</v>
      </c>
      <c r="O12" s="68" t="n">
        <v>4</v>
      </c>
      <c r="P12" s="68" t="n">
        <v>4</v>
      </c>
      <c r="Q12" s="68" t="n">
        <v>4</v>
      </c>
      <c r="R12" s="68" t="n">
        <v>4</v>
      </c>
      <c r="S12" s="38" t="s">
        <v>383</v>
      </c>
    </row>
    <row r="13" customFormat="false" ht="15" hidden="false" customHeight="true" outlineLevel="0" collapsed="false">
      <c r="B13" s="44" t="n">
        <v>10</v>
      </c>
      <c r="C13" s="38" t="s">
        <v>393</v>
      </c>
      <c r="D13" s="68" t="n">
        <v>20</v>
      </c>
      <c r="E13" s="44" t="n">
        <f aca="false">SUM(G13:R13)</f>
        <v>44</v>
      </c>
      <c r="F13" s="44" t="n">
        <f aca="false">D13*E13</f>
        <v>880</v>
      </c>
      <c r="G13" s="68" t="n">
        <v>2</v>
      </c>
      <c r="H13" s="68" t="n">
        <v>2</v>
      </c>
      <c r="I13" s="68" t="n">
        <v>4</v>
      </c>
      <c r="J13" s="68" t="n">
        <v>4</v>
      </c>
      <c r="K13" s="68" t="n">
        <v>4</v>
      </c>
      <c r="L13" s="68" t="n">
        <v>4</v>
      </c>
      <c r="M13" s="68" t="n">
        <v>4</v>
      </c>
      <c r="N13" s="68" t="n">
        <v>4</v>
      </c>
      <c r="O13" s="68" t="n">
        <v>4</v>
      </c>
      <c r="P13" s="68" t="n">
        <v>4</v>
      </c>
      <c r="Q13" s="68" t="n">
        <v>4</v>
      </c>
      <c r="R13" s="68" t="n">
        <v>4</v>
      </c>
      <c r="S13" s="38" t="s">
        <v>383</v>
      </c>
    </row>
    <row r="14" customFormat="false" ht="15" hidden="false" customHeight="true" outlineLevel="0" collapsed="false">
      <c r="B14" s="44" t="n">
        <v>11</v>
      </c>
      <c r="C14" s="38" t="s">
        <v>394</v>
      </c>
      <c r="D14" s="68" t="n">
        <v>16</v>
      </c>
      <c r="E14" s="44" t="n">
        <f aca="false">SUM(G14:R14)</f>
        <v>32</v>
      </c>
      <c r="F14" s="44" t="n">
        <f aca="false">D14*E14</f>
        <v>512</v>
      </c>
      <c r="G14" s="68" t="n">
        <v>0</v>
      </c>
      <c r="H14" s="68" t="n">
        <v>0</v>
      </c>
      <c r="I14" s="68" t="n">
        <v>2</v>
      </c>
      <c r="J14" s="68" t="n">
        <v>4</v>
      </c>
      <c r="K14" s="68" t="n">
        <v>4</v>
      </c>
      <c r="L14" s="68" t="n">
        <v>4</v>
      </c>
      <c r="M14" s="68" t="n">
        <v>4</v>
      </c>
      <c r="N14" s="68" t="n">
        <v>4</v>
      </c>
      <c r="O14" s="68" t="n">
        <v>4</v>
      </c>
      <c r="P14" s="68" t="n">
        <v>4</v>
      </c>
      <c r="Q14" s="68" t="n">
        <v>2</v>
      </c>
      <c r="R14" s="68" t="n">
        <v>0</v>
      </c>
      <c r="S14" s="38" t="s">
        <v>383</v>
      </c>
    </row>
    <row r="15" customFormat="false" ht="15" hidden="false" customHeight="true" outlineLevel="0" collapsed="false">
      <c r="B15" s="44" t="n">
        <v>12</v>
      </c>
      <c r="C15" s="38" t="s">
        <v>395</v>
      </c>
      <c r="D15" s="68" t="n">
        <v>20</v>
      </c>
      <c r="E15" s="44" t="n">
        <f aca="false">SUM(G15:R15)</f>
        <v>40</v>
      </c>
      <c r="F15" s="44" t="n">
        <f aca="false">D15*E15</f>
        <v>800</v>
      </c>
      <c r="G15" s="68" t="n">
        <v>4</v>
      </c>
      <c r="H15" s="68" t="n">
        <v>4</v>
      </c>
      <c r="I15" s="68" t="n">
        <v>4</v>
      </c>
      <c r="J15" s="68" t="n">
        <v>4</v>
      </c>
      <c r="K15" s="68" t="n">
        <v>3</v>
      </c>
      <c r="L15" s="68" t="n">
        <v>1</v>
      </c>
      <c r="M15" s="68" t="n">
        <v>1</v>
      </c>
      <c r="N15" s="68" t="n">
        <v>3</v>
      </c>
      <c r="O15" s="68" t="n">
        <v>4</v>
      </c>
      <c r="P15" s="68" t="n">
        <v>4</v>
      </c>
      <c r="Q15" s="68" t="n">
        <v>4</v>
      </c>
      <c r="R15" s="68" t="n">
        <v>4</v>
      </c>
      <c r="S15" s="38" t="s">
        <v>383</v>
      </c>
    </row>
    <row r="16" customFormat="false" ht="15" hidden="false" customHeight="true" outlineLevel="0" collapsed="false">
      <c r="B16" s="44" t="n">
        <v>13</v>
      </c>
      <c r="C16" s="38" t="s">
        <v>396</v>
      </c>
      <c r="D16" s="68" t="n">
        <v>12</v>
      </c>
      <c r="E16" s="44" t="n">
        <f aca="false">SUM(G16:R16)</f>
        <v>28</v>
      </c>
      <c r="F16" s="44" t="n">
        <f aca="false">D16*E16</f>
        <v>336</v>
      </c>
      <c r="G16" s="68" t="n">
        <v>0</v>
      </c>
      <c r="H16" s="68" t="n">
        <v>0</v>
      </c>
      <c r="I16" s="68" t="n">
        <v>0</v>
      </c>
      <c r="J16" s="68" t="n">
        <v>4</v>
      </c>
      <c r="K16" s="68" t="n">
        <v>4</v>
      </c>
      <c r="L16" s="68" t="n">
        <v>4</v>
      </c>
      <c r="M16" s="68" t="n">
        <v>4</v>
      </c>
      <c r="N16" s="68" t="n">
        <v>4</v>
      </c>
      <c r="O16" s="68" t="n">
        <v>4</v>
      </c>
      <c r="P16" s="68" t="n">
        <v>4</v>
      </c>
      <c r="Q16" s="68" t="n">
        <v>0</v>
      </c>
      <c r="R16" s="68" t="n">
        <v>0</v>
      </c>
      <c r="S16" s="38" t="s">
        <v>383</v>
      </c>
    </row>
    <row r="17" customFormat="false" ht="15" hidden="false" customHeight="true" outlineLevel="0" collapsed="false">
      <c r="B17" s="44" t="n">
        <v>14</v>
      </c>
      <c r="C17" s="38" t="s">
        <v>397</v>
      </c>
      <c r="D17" s="68" t="n">
        <v>12</v>
      </c>
      <c r="E17" s="44" t="n">
        <f aca="false">SUM(G17:R17)</f>
        <v>28</v>
      </c>
      <c r="F17" s="44" t="n">
        <f aca="false">D17*E17</f>
        <v>336</v>
      </c>
      <c r="G17" s="68" t="n">
        <v>0</v>
      </c>
      <c r="H17" s="68" t="n">
        <v>0</v>
      </c>
      <c r="I17" s="68" t="n">
        <v>0</v>
      </c>
      <c r="J17" s="68" t="n">
        <v>2</v>
      </c>
      <c r="K17" s="68" t="n">
        <v>4</v>
      </c>
      <c r="L17" s="68" t="n">
        <v>4</v>
      </c>
      <c r="M17" s="68" t="n">
        <v>4</v>
      </c>
      <c r="N17" s="68" t="n">
        <v>4</v>
      </c>
      <c r="O17" s="68" t="n">
        <v>4</v>
      </c>
      <c r="P17" s="68" t="n">
        <v>4</v>
      </c>
      <c r="Q17" s="68" t="n">
        <v>2</v>
      </c>
      <c r="R17" s="68" t="n">
        <v>0</v>
      </c>
      <c r="S17" s="38" t="s">
        <v>383</v>
      </c>
    </row>
    <row r="19" customFormat="false" ht="15" hidden="false" customHeight="true" outlineLevel="0" collapsed="false">
      <c r="B19" s="40" t="s">
        <v>398</v>
      </c>
    </row>
    <row r="20" customFormat="false" ht="15" hidden="false" customHeight="true" outlineLevel="0" collapsed="false">
      <c r="B20" s="40" t="s">
        <v>399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44"/>
    <col collapsed="false" customWidth="true" hidden="false" outlineLevel="0" max="3" min="3" style="1" width="16"/>
    <col collapsed="false" customWidth="true" hidden="false" outlineLevel="0" max="4" min="4" style="1" width="62"/>
    <col collapsed="false" customWidth="true" hidden="false" outlineLevel="0" max="5" min="5" style="1" width="30"/>
  </cols>
  <sheetData>
    <row r="2" customFormat="false" ht="15" hidden="false" customHeight="true" outlineLevel="0" collapsed="false">
      <c r="B2" s="37" t="s">
        <v>400</v>
      </c>
    </row>
    <row r="3" customFormat="false" ht="15" hidden="false" customHeight="true" outlineLevel="0" collapsed="false">
      <c r="B3" s="37" t="s">
        <v>401</v>
      </c>
      <c r="C3" s="37" t="s">
        <v>402</v>
      </c>
      <c r="D3" s="37" t="s">
        <v>403</v>
      </c>
      <c r="E3" s="37" t="s">
        <v>404</v>
      </c>
    </row>
    <row r="4" customFormat="false" ht="15" hidden="false" customHeight="true" outlineLevel="0" collapsed="false">
      <c r="B4" s="38" t="s">
        <v>405</v>
      </c>
      <c r="C4" s="38" t="s">
        <v>223</v>
      </c>
      <c r="D4" s="38" t="s">
        <v>406</v>
      </c>
      <c r="E4" s="38" t="s">
        <v>407</v>
      </c>
    </row>
    <row r="5" customFormat="false" ht="15" hidden="false" customHeight="true" outlineLevel="0" collapsed="false">
      <c r="B5" s="38" t="s">
        <v>408</v>
      </c>
      <c r="C5" s="38" t="s">
        <v>245</v>
      </c>
      <c r="D5" s="38" t="s">
        <v>409</v>
      </c>
      <c r="E5" s="38" t="s">
        <v>410</v>
      </c>
    </row>
    <row r="6" customFormat="false" ht="15" hidden="false" customHeight="true" outlineLevel="0" collapsed="false">
      <c r="B6" s="38" t="s">
        <v>411</v>
      </c>
      <c r="C6" s="38" t="s">
        <v>245</v>
      </c>
      <c r="D6" s="38" t="s">
        <v>412</v>
      </c>
      <c r="E6" s="38" t="s">
        <v>413</v>
      </c>
    </row>
    <row r="7" customFormat="false" ht="15" hidden="false" customHeight="true" outlineLevel="0" collapsed="false">
      <c r="B7" s="38" t="s">
        <v>414</v>
      </c>
      <c r="C7" s="38" t="s">
        <v>245</v>
      </c>
      <c r="D7" s="38" t="s">
        <v>415</v>
      </c>
      <c r="E7" s="38" t="s">
        <v>416</v>
      </c>
    </row>
    <row r="8" customFormat="false" ht="15" hidden="false" customHeight="true" outlineLevel="0" collapsed="false">
      <c r="B8" s="38" t="s">
        <v>417</v>
      </c>
      <c r="C8" s="38" t="s">
        <v>245</v>
      </c>
      <c r="D8" s="38" t="s">
        <v>418</v>
      </c>
      <c r="E8" s="38" t="s">
        <v>419</v>
      </c>
    </row>
    <row r="9" customFormat="false" ht="15" hidden="false" customHeight="true" outlineLevel="0" collapsed="false">
      <c r="B9" s="38" t="s">
        <v>420</v>
      </c>
      <c r="C9" s="38" t="s">
        <v>245</v>
      </c>
      <c r="D9" s="38" t="s">
        <v>421</v>
      </c>
      <c r="E9" s="38" t="s">
        <v>419</v>
      </c>
    </row>
    <row r="10" customFormat="false" ht="15" hidden="false" customHeight="true" outlineLevel="0" collapsed="false">
      <c r="B10" s="38" t="s">
        <v>422</v>
      </c>
      <c r="C10" s="38" t="s">
        <v>245</v>
      </c>
      <c r="D10" s="38" t="s">
        <v>423</v>
      </c>
      <c r="E10" s="38" t="s">
        <v>419</v>
      </c>
    </row>
    <row r="11" customFormat="false" ht="15" hidden="false" customHeight="true" outlineLevel="0" collapsed="false">
      <c r="B11" s="38" t="s">
        <v>424</v>
      </c>
      <c r="C11" s="38" t="s">
        <v>245</v>
      </c>
      <c r="D11" s="38" t="s">
        <v>425</v>
      </c>
      <c r="E11" s="85" t="s">
        <v>426</v>
      </c>
    </row>
    <row r="12" customFormat="false" ht="15" hidden="false" customHeight="true" outlineLevel="0" collapsed="false">
      <c r="B12" s="38" t="s">
        <v>427</v>
      </c>
      <c r="C12" s="38" t="s">
        <v>245</v>
      </c>
      <c r="D12" s="38" t="s">
        <v>428</v>
      </c>
      <c r="E12" s="85" t="s">
        <v>429</v>
      </c>
    </row>
    <row r="13" customFormat="false" ht="15" hidden="false" customHeight="true" outlineLevel="0" collapsed="false">
      <c r="B13" s="38" t="s">
        <v>430</v>
      </c>
      <c r="C13" s="38" t="s">
        <v>245</v>
      </c>
      <c r="D13" s="38" t="s">
        <v>431</v>
      </c>
      <c r="E13" s="85" t="s">
        <v>429</v>
      </c>
    </row>
    <row r="14" customFormat="false" ht="15" hidden="false" customHeight="true" outlineLevel="0" collapsed="false">
      <c r="B14" s="1" t="s">
        <v>432</v>
      </c>
      <c r="C14" s="1" t="s">
        <v>433</v>
      </c>
      <c r="D14" s="1" t="s">
        <v>434</v>
      </c>
      <c r="E14" s="1" t="s">
        <v>435</v>
      </c>
    </row>
    <row r="15" customFormat="false" ht="15" hidden="false" customHeight="true" outlineLevel="0" collapsed="false">
      <c r="B15" s="1" t="s">
        <v>436</v>
      </c>
      <c r="C15" s="1" t="s">
        <v>433</v>
      </c>
      <c r="D15" s="1" t="s">
        <v>437</v>
      </c>
      <c r="E15" s="1" t="s">
        <v>438</v>
      </c>
    </row>
    <row r="16" customFormat="false" ht="15" hidden="false" customHeight="true" outlineLevel="0" collapsed="false">
      <c r="B16" s="40" t="s">
        <v>439</v>
      </c>
    </row>
    <row r="17" customFormat="false" ht="15" hidden="false" customHeight="true" outlineLevel="0" collapsed="false">
      <c r="B17" s="40" t="s">
        <v>440</v>
      </c>
    </row>
    <row r="18" customFormat="false" ht="15" hidden="false" customHeight="true" outlineLevel="0" collapsed="false">
      <c r="B18" s="40" t="s">
        <v>441</v>
      </c>
    </row>
    <row r="19" customFormat="false" ht="15" hidden="false" customHeight="true" outlineLevel="0" collapsed="false">
      <c r="B19" s="40" t="s">
        <v>442</v>
      </c>
    </row>
    <row r="20" customFormat="false" ht="15" hidden="false" customHeight="true" outlineLevel="0" collapsed="false">
      <c r="B20" s="40" t="s">
        <v>443</v>
      </c>
    </row>
    <row r="21" customFormat="false" ht="15" hidden="false" customHeight="true" outlineLevel="0" collapsed="false">
      <c r="B21" s="40" t="s">
        <v>444</v>
      </c>
    </row>
    <row r="22" customFormat="false" ht="15" hidden="false" customHeight="true" outlineLevel="0" collapsed="false">
      <c r="B22" s="40" t="s">
        <v>445</v>
      </c>
    </row>
    <row r="23" customFormat="false" ht="15" hidden="false" customHeight="true" outlineLevel="0" collapsed="false">
      <c r="B23" s="40" t="s">
        <v>446</v>
      </c>
    </row>
    <row r="24" customFormat="false" ht="15" hidden="false" customHeight="true" outlineLevel="0" collapsed="false">
      <c r="B24" s="62" t="s">
        <v>447</v>
      </c>
    </row>
    <row r="25" customFormat="false" ht="15" hidden="false" customHeight="true" outlineLevel="0" collapsed="false">
      <c r="B25" s="62" t="s">
        <v>448</v>
      </c>
    </row>
    <row r="26" customFormat="false" ht="15" hidden="false" customHeight="true" outlineLevel="0" collapsed="false">
      <c r="B26" s="1" t="s">
        <v>449</v>
      </c>
      <c r="C26" s="1" t="s">
        <v>433</v>
      </c>
      <c r="D26" s="1" t="s">
        <v>450</v>
      </c>
      <c r="E26" s="1" t="s">
        <v>451</v>
      </c>
    </row>
    <row r="27" customFormat="false" ht="15" hidden="false" customHeight="true" outlineLevel="0" collapsed="false">
      <c r="B27" s="1" t="s">
        <v>452</v>
      </c>
      <c r="C27" s="1" t="s">
        <v>433</v>
      </c>
      <c r="D27" s="1" t="s">
        <v>453</v>
      </c>
      <c r="E27" s="1" t="s">
        <v>454</v>
      </c>
    </row>
    <row r="28" customFormat="false" ht="15" hidden="false" customHeight="true" outlineLevel="0" collapsed="false">
      <c r="B28" s="1" t="s">
        <v>455</v>
      </c>
      <c r="C28" s="1" t="s">
        <v>433</v>
      </c>
      <c r="D28" s="1" t="s">
        <v>456</v>
      </c>
      <c r="E28" s="1" t="s">
        <v>457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M3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62"/>
    <col collapsed="false" customWidth="true" hidden="false" outlineLevel="0" max="3" min="3" style="1" width="10"/>
    <col collapsed="false" customWidth="true" hidden="false" outlineLevel="0" max="4" min="4" style="1" width="14"/>
    <col collapsed="false" customWidth="true" hidden="false" outlineLevel="0" max="5" min="5" style="1" width="12"/>
    <col collapsed="false" customWidth="true" hidden="false" outlineLevel="0" max="13" min="7" style="1" width="16"/>
  </cols>
  <sheetData>
    <row r="2" customFormat="false" ht="15.75" hidden="false" customHeight="true" outlineLevel="0" collapsed="false">
      <c r="B2" s="75" t="s">
        <v>458</v>
      </c>
    </row>
    <row r="3" customFormat="false" ht="15" hidden="false" customHeight="true" outlineLevel="0" collapsed="false">
      <c r="B3" s="62" t="s">
        <v>459</v>
      </c>
    </row>
    <row r="5" customFormat="false" ht="33.75" hidden="false" customHeight="true" outlineLevel="0" collapsed="false">
      <c r="B5" s="77" t="s">
        <v>460</v>
      </c>
      <c r="C5" s="77" t="s">
        <v>215</v>
      </c>
      <c r="D5" s="77" t="s">
        <v>216</v>
      </c>
      <c r="E5" s="77" t="s">
        <v>461</v>
      </c>
      <c r="F5" s="76"/>
      <c r="G5" s="77" t="s">
        <v>159</v>
      </c>
      <c r="H5" s="77" t="s">
        <v>160</v>
      </c>
      <c r="I5" s="77" t="s">
        <v>161</v>
      </c>
      <c r="J5" s="77" t="s">
        <v>162</v>
      </c>
      <c r="K5" s="77" t="s">
        <v>163</v>
      </c>
      <c r="L5" s="77" t="s">
        <v>164</v>
      </c>
      <c r="M5" s="77" t="s">
        <v>165</v>
      </c>
    </row>
    <row r="6" customFormat="false" ht="15" hidden="false" customHeight="true" outlineLevel="0" collapsed="false">
      <c r="B6" s="63" t="s">
        <v>462</v>
      </c>
      <c r="G6" s="58" t="n">
        <f aca="false">1+(3000000/Capital!D$6)/((37000000/Capital!D$6)+1050000*Inputs!$G$9/Inputs!$G$8)</f>
        <v>1.05249466916635</v>
      </c>
      <c r="H6" s="58" t="n">
        <f aca="false">1+(3000000/Capital!E$6)/((37000000/Capital!E$6)+1050000*Inputs!$G$9/Inputs!$G$8)</f>
        <v>1.05249466916635</v>
      </c>
      <c r="I6" s="58" t="n">
        <f aca="false">1+(3000000/Capital!F$6)/((37000000/Capital!F$6)+1050000*Inputs!$G$9/Inputs!$G$8)</f>
        <v>1.05577187814588</v>
      </c>
      <c r="J6" s="58" t="n">
        <f aca="false">1+(3000000/Capital!G$6)/((37000000/Capital!G$6)+1050000*Inputs!$G$9/Inputs!$G$8)</f>
        <v>1.05249466916635</v>
      </c>
      <c r="K6" s="58" t="n">
        <f aca="false">1+(3000000/Capital!H$6)/((37000000/Capital!H$6)+1050000*Inputs!$G$9/Inputs!$G$8)</f>
        <v>1.05577187814588</v>
      </c>
      <c r="L6" s="58" t="n">
        <f aca="false">1+(3000000/Capital!I$6)/((37000000/Capital!I$6)+1050000*Inputs!$G$9/Inputs!$G$8)</f>
        <v>1.05249466916635</v>
      </c>
      <c r="M6" s="58" t="n">
        <f aca="false">1+(3000000/Capital!J$6)/((37000000/Capital!J$6)+1050000*Inputs!$G$9/Inputs!$G$8)</f>
        <v>1.05577187814588</v>
      </c>
    </row>
    <row r="8" customFormat="false" ht="15" hidden="false" customHeight="true" outlineLevel="0" collapsed="false">
      <c r="B8" s="63" t="s">
        <v>463</v>
      </c>
      <c r="C8" s="63" t="s">
        <v>244</v>
      </c>
      <c r="D8" s="68" t="n">
        <v>12000000</v>
      </c>
      <c r="E8" s="78" t="n">
        <v>20</v>
      </c>
      <c r="G8" s="79" t="n">
        <f aca="false">($D8/Capital!D$6)*G$6*Capital!D$7*(1+0.05)*(1+0.25)*Capital!D$43/$E8</f>
        <v>37147.3701368981</v>
      </c>
      <c r="H8" s="79" t="n">
        <f aca="false">($D8/Capital!E$6)*H$6*Capital!E$7*(1+0.05)*(1+0.25)*Capital!E$43/$E8</f>
        <v>37147.3701368981</v>
      </c>
      <c r="I8" s="79" t="n">
        <f aca="false">($D8/Capital!F$6)*I$6*Capital!F$7*(1+0.05)*(1+0.25)*Capital!F$43/$E8</f>
        <v>44715.6454696471</v>
      </c>
      <c r="J8" s="79" t="n">
        <f aca="false">($D8/Capital!G$6)*J$6*Capital!G$7*(1+0.05)*(1+0.25)*Capital!G$43/$E8</f>
        <v>44576.8441642777</v>
      </c>
      <c r="K8" s="79" t="n">
        <f aca="false">($D8/Capital!H$6)*K$6*Capital!H$7*(1+0.05)*(1+0.25)*Capital!H$43/$E8</f>
        <v>53658.7745635765</v>
      </c>
      <c r="L8" s="79" t="n">
        <f aca="false">($D8/Capital!I$6)*L$6*Capital!I$7*(1+0.05)*(1+0.25)*Capital!I$43/$E8</f>
        <v>38038.9070201837</v>
      </c>
      <c r="M8" s="79" t="n">
        <f aca="false">($D8/Capital!J$6)*M$6*Capital!J$7*(1+0.05)*(1+0.25)*Capital!J$43/$E8</f>
        <v>54946.5851531023</v>
      </c>
    </row>
    <row r="9" customFormat="false" ht="15" hidden="false" customHeight="true" outlineLevel="0" collapsed="false">
      <c r="B9" s="63" t="s">
        <v>464</v>
      </c>
      <c r="C9" s="63" t="s">
        <v>244</v>
      </c>
      <c r="D9" s="68" t="n">
        <v>8000000</v>
      </c>
      <c r="E9" s="78" t="n">
        <v>20</v>
      </c>
      <c r="G9" s="79" t="n">
        <f aca="false">($D9/Capital!D$6)*G$6*Capital!D$7*(1+0.05)*(1+0.25)*Capital!D$43/$E9</f>
        <v>24764.9134245987</v>
      </c>
      <c r="H9" s="79" t="n">
        <f aca="false">($D9/Capital!E$6)*H$6*Capital!E$7*(1+0.05)*(1+0.25)*Capital!E$43/$E9</f>
        <v>24764.9134245987</v>
      </c>
      <c r="I9" s="79" t="n">
        <f aca="false">($D9/Capital!F$6)*I$6*Capital!F$7*(1+0.05)*(1+0.25)*Capital!F$43/$E9</f>
        <v>29810.430313098</v>
      </c>
      <c r="J9" s="79" t="n">
        <f aca="false">($D9/Capital!G$6)*J$6*Capital!G$7*(1+0.05)*(1+0.25)*Capital!G$43/$E9</f>
        <v>29717.8961095185</v>
      </c>
      <c r="K9" s="79" t="n">
        <f aca="false">($D9/Capital!H$6)*K$6*Capital!H$7*(1+0.05)*(1+0.25)*Capital!H$43/$E9</f>
        <v>35772.5163757176</v>
      </c>
      <c r="L9" s="79" t="n">
        <f aca="false">($D9/Capital!I$6)*L$6*Capital!I$7*(1+0.05)*(1+0.25)*Capital!I$43/$E9</f>
        <v>25359.2713467891</v>
      </c>
      <c r="M9" s="79" t="n">
        <f aca="false">($D9/Capital!J$6)*M$6*Capital!J$7*(1+0.05)*(1+0.25)*Capital!J$43/$E9</f>
        <v>36631.0567687349</v>
      </c>
    </row>
    <row r="10" customFormat="false" ht="15" hidden="false" customHeight="true" outlineLevel="0" collapsed="false">
      <c r="B10" s="63" t="s">
        <v>465</v>
      </c>
      <c r="C10" s="63" t="s">
        <v>244</v>
      </c>
      <c r="D10" s="68" t="n">
        <v>4000000</v>
      </c>
      <c r="E10" s="78" t="n">
        <v>20</v>
      </c>
      <c r="G10" s="79" t="n">
        <f aca="false">($D10/Capital!D$6)*G$6*Capital!D$7*(1+0.05)*(1+0.25)*Capital!D$43/$E10</f>
        <v>12382.4567122994</v>
      </c>
      <c r="H10" s="79" t="n">
        <f aca="false">($D10/Capital!E$6)*H$6*Capital!E$7*(1+0.05)*(1+0.25)*Capital!E$43/$E10</f>
        <v>12382.4567122994</v>
      </c>
      <c r="I10" s="79" t="n">
        <f aca="false">($D10/Capital!F$6)*I$6*Capital!F$7*(1+0.05)*(1+0.25)*Capital!F$43/$E10</f>
        <v>14905.215156549</v>
      </c>
      <c r="J10" s="79" t="n">
        <f aca="false">($D10/Capital!G$6)*J$6*Capital!G$7*(1+0.05)*(1+0.25)*Capital!G$43/$E10</f>
        <v>14858.9480547592</v>
      </c>
      <c r="K10" s="79" t="n">
        <f aca="false">($D10/Capital!H$6)*K$6*Capital!H$7*(1+0.05)*(1+0.25)*Capital!H$43/$E10</f>
        <v>17886.2581878588</v>
      </c>
      <c r="L10" s="79" t="n">
        <f aca="false">($D10/Capital!I$6)*L$6*Capital!I$7*(1+0.05)*(1+0.25)*Capital!I$43/$E10</f>
        <v>12679.6356733945</v>
      </c>
      <c r="M10" s="79" t="n">
        <f aca="false">($D10/Capital!J$6)*M$6*Capital!J$7*(1+0.05)*(1+0.25)*Capital!J$43/$E10</f>
        <v>18315.5283843674</v>
      </c>
    </row>
    <row r="11" customFormat="false" ht="15" hidden="false" customHeight="true" outlineLevel="0" collapsed="false">
      <c r="B11" s="63" t="s">
        <v>466</v>
      </c>
      <c r="C11" s="63" t="s">
        <v>244</v>
      </c>
      <c r="D11" s="68" t="n">
        <v>3000000</v>
      </c>
      <c r="E11" s="78" t="n">
        <v>20</v>
      </c>
      <c r="G11" s="79" t="n">
        <f aca="false">($D11/Capital!D$6)*G$6*Capital!D$7*(1+0.05)*(1+0.25)*Capital!D$43/$E11</f>
        <v>9286.84253422453</v>
      </c>
      <c r="H11" s="79" t="n">
        <f aca="false">($D11/Capital!E$6)*H$6*Capital!E$7*(1+0.05)*(1+0.25)*Capital!E$43/$E11</f>
        <v>9286.84253422453</v>
      </c>
      <c r="I11" s="79" t="n">
        <f aca="false">($D11/Capital!F$6)*I$6*Capital!F$7*(1+0.05)*(1+0.25)*Capital!F$43/$E11</f>
        <v>11178.9113674118</v>
      </c>
      <c r="J11" s="79" t="n">
        <f aca="false">($D11/Capital!G$6)*J$6*Capital!G$7*(1+0.05)*(1+0.25)*Capital!G$43/$E11</f>
        <v>11144.2110410694</v>
      </c>
      <c r="K11" s="79" t="n">
        <f aca="false">($D11/Capital!H$6)*K$6*Capital!H$7*(1+0.05)*(1+0.25)*Capital!H$43/$E11</f>
        <v>13414.6936408941</v>
      </c>
      <c r="L11" s="79" t="n">
        <f aca="false">($D11/Capital!I$6)*L$6*Capital!I$7*(1+0.05)*(1+0.25)*Capital!I$43/$E11</f>
        <v>9509.72675504591</v>
      </c>
      <c r="M11" s="79" t="n">
        <f aca="false">($D11/Capital!J$6)*M$6*Capital!J$7*(1+0.05)*(1+0.25)*Capital!J$43/$E11</f>
        <v>13736.6462882756</v>
      </c>
    </row>
    <row r="12" customFormat="false" ht="15" hidden="false" customHeight="true" outlineLevel="0" collapsed="false">
      <c r="B12" s="63" t="s">
        <v>467</v>
      </c>
      <c r="C12" s="63" t="s">
        <v>244</v>
      </c>
      <c r="D12" s="68" t="n">
        <v>4000000</v>
      </c>
      <c r="E12" s="78" t="n">
        <v>7</v>
      </c>
      <c r="G12" s="79" t="n">
        <f aca="false">($D12/Capital!D$6)*G$6*Capital!D$7*(1+0.05)*(1+0.25)*Capital!D$43/$E12</f>
        <v>35378.4477494268</v>
      </c>
      <c r="H12" s="79" t="n">
        <f aca="false">($D12/Capital!E$6)*H$6*Capital!E$7*(1+0.05)*(1+0.25)*Capital!E$43/$E12</f>
        <v>35378.4477494268</v>
      </c>
      <c r="I12" s="79" t="n">
        <f aca="false">($D12/Capital!F$6)*I$6*Capital!F$7*(1+0.05)*(1+0.25)*Capital!F$43/$E12</f>
        <v>42586.3290187115</v>
      </c>
      <c r="J12" s="79" t="n">
        <f aca="false">($D12/Capital!G$6)*J$6*Capital!G$7*(1+0.05)*(1+0.25)*Capital!G$43/$E12</f>
        <v>42454.1372993121</v>
      </c>
      <c r="K12" s="79" t="n">
        <f aca="false">($D12/Capital!H$6)*K$6*Capital!H$7*(1+0.05)*(1+0.25)*Capital!H$43/$E12</f>
        <v>51103.5948224538</v>
      </c>
      <c r="L12" s="79" t="n">
        <f aca="false">($D12/Capital!I$6)*L$6*Capital!I$7*(1+0.05)*(1+0.25)*Capital!I$43/$E12</f>
        <v>36227.530495413</v>
      </c>
      <c r="M12" s="79" t="n">
        <f aca="false">($D12/Capital!J$6)*M$6*Capital!J$7*(1+0.05)*(1+0.25)*Capital!J$43/$E12</f>
        <v>52330.0810981927</v>
      </c>
    </row>
    <row r="13" customFormat="false" ht="15" hidden="false" customHeight="true" outlineLevel="0" collapsed="false">
      <c r="B13" s="63" t="s">
        <v>468</v>
      </c>
      <c r="C13" s="63" t="s">
        <v>244</v>
      </c>
      <c r="D13" s="68" t="n">
        <v>5000000</v>
      </c>
      <c r="E13" s="78" t="n">
        <v>15</v>
      </c>
      <c r="G13" s="79" t="n">
        <f aca="false">($D13/Capital!D$6)*G$6*Capital!D$7*(1+0.05)*(1+0.25)*Capital!D$43/$E13</f>
        <v>20637.4278538323</v>
      </c>
      <c r="H13" s="79" t="n">
        <f aca="false">($D13/Capital!E$6)*H$6*Capital!E$7*(1+0.05)*(1+0.25)*Capital!E$43/$E13</f>
        <v>20637.4278538323</v>
      </c>
      <c r="I13" s="79" t="n">
        <f aca="false">($D13/Capital!F$6)*I$6*Capital!F$7*(1+0.05)*(1+0.25)*Capital!F$43/$E13</f>
        <v>24842.025260915</v>
      </c>
      <c r="J13" s="79" t="n">
        <f aca="false">($D13/Capital!G$6)*J$6*Capital!G$7*(1+0.05)*(1+0.25)*Capital!G$43/$E13</f>
        <v>24764.9134245987</v>
      </c>
      <c r="K13" s="79" t="n">
        <f aca="false">($D13/Capital!H$6)*K$6*Capital!H$7*(1+0.05)*(1+0.25)*Capital!H$43/$E13</f>
        <v>29810.430313098</v>
      </c>
      <c r="L13" s="79" t="n">
        <f aca="false">($D13/Capital!I$6)*L$6*Capital!I$7*(1+0.05)*(1+0.25)*Capital!I$43/$E13</f>
        <v>21132.7261223243</v>
      </c>
      <c r="M13" s="79" t="n">
        <f aca="false">($D13/Capital!J$6)*M$6*Capital!J$7*(1+0.05)*(1+0.25)*Capital!J$43/$E13</f>
        <v>30525.8806406124</v>
      </c>
    </row>
    <row r="14" customFormat="false" ht="15" hidden="false" customHeight="true" outlineLevel="0" collapsed="false">
      <c r="B14" s="63" t="s">
        <v>469</v>
      </c>
      <c r="C14" s="63" t="s">
        <v>244</v>
      </c>
      <c r="D14" s="68" t="n">
        <v>1000000</v>
      </c>
      <c r="E14" s="78" t="n">
        <v>15</v>
      </c>
      <c r="G14" s="79" t="n">
        <f aca="false">($D14/Capital!D$6)*G$6*Capital!D$7*(1+0.05)*(1+0.25)*Capital!D$43/$E14</f>
        <v>4127.48557076646</v>
      </c>
      <c r="H14" s="79" t="n">
        <f aca="false">($D14/Capital!E$6)*H$6*Capital!E$7*(1+0.05)*(1+0.25)*Capital!E$43/$E14</f>
        <v>4127.48557076646</v>
      </c>
      <c r="I14" s="79" t="n">
        <f aca="false">($D14/Capital!F$6)*I$6*Capital!F$7*(1+0.05)*(1+0.25)*Capital!F$43/$E14</f>
        <v>4968.40505218301</v>
      </c>
      <c r="J14" s="79" t="n">
        <f aca="false">($D14/Capital!G$6)*J$6*Capital!G$7*(1+0.05)*(1+0.25)*Capital!G$43/$E14</f>
        <v>4952.98268491975</v>
      </c>
      <c r="K14" s="79" t="n">
        <f aca="false">($D14/Capital!H$6)*K$6*Capital!H$7*(1+0.05)*(1+0.25)*Capital!H$43/$E14</f>
        <v>5962.08606261961</v>
      </c>
      <c r="L14" s="79" t="n">
        <f aca="false">($D14/Capital!I$6)*L$6*Capital!I$7*(1+0.05)*(1+0.25)*Capital!I$43/$E14</f>
        <v>4226.54522446485</v>
      </c>
      <c r="M14" s="79" t="n">
        <f aca="false">($D14/Capital!J$6)*M$6*Capital!J$7*(1+0.05)*(1+0.25)*Capital!J$43/$E14</f>
        <v>6105.17612812248</v>
      </c>
    </row>
    <row r="15" customFormat="false" ht="15" hidden="false" customHeight="true" outlineLevel="0" collapsed="false">
      <c r="B15" s="63" t="s">
        <v>470</v>
      </c>
      <c r="C15" s="63" t="s">
        <v>471</v>
      </c>
      <c r="D15" s="68" t="n">
        <v>280000</v>
      </c>
      <c r="E15" s="78" t="n">
        <v>5</v>
      </c>
      <c r="G15" s="79" t="n">
        <f aca="false">($D15*Inputs!$G$9/Inputs!$G$8)*G$6*Capital!D$7*(1+0.05)*(1+0.25)*Capital!D$43/$E15</f>
        <v>66530.6427362234</v>
      </c>
      <c r="H15" s="79" t="n">
        <f aca="false">($D15*Inputs!$G$9/Inputs!$G$8)*H$6*Capital!E$7*(1+0.05)*(1+0.25)*Capital!E$43/$E15</f>
        <v>66530.6427362234</v>
      </c>
      <c r="I15" s="79" t="n">
        <f aca="false">($D15*Inputs!$G$9/Inputs!$G$8)*I$6*Capital!F$7*(1+0.05)*(1+0.25)*Capital!F$43/$E15</f>
        <v>66737.8027591451</v>
      </c>
      <c r="J15" s="79" t="n">
        <f aca="false">($D15*Inputs!$G$9/Inputs!$G$8)*J$6*Capital!G$7*(1+0.05)*(1+0.25)*Capital!G$43/$E15</f>
        <v>79836.7712834681</v>
      </c>
      <c r="K15" s="79" t="n">
        <f aca="false">($D15*Inputs!$G$9/Inputs!$G$8)*K$6*Capital!H$7*(1+0.05)*(1+0.25)*Capital!H$43/$E15</f>
        <v>80085.3633109741</v>
      </c>
      <c r="L15" s="79" t="n">
        <f aca="false">($D15*Inputs!$G$9/Inputs!$G$8)*L$6*Capital!I$7*(1+0.05)*(1+0.25)*Capital!I$43/$E15</f>
        <v>68127.3781618928</v>
      </c>
      <c r="M15" s="79" t="n">
        <f aca="false">($D15*Inputs!$G$9/Inputs!$G$8)*M$6*Capital!J$7*(1+0.05)*(1+0.25)*Capital!J$43/$E15</f>
        <v>82007.4120304375</v>
      </c>
    </row>
    <row r="16" customFormat="false" ht="15" hidden="false" customHeight="true" outlineLevel="0" collapsed="false">
      <c r="B16" s="63" t="s">
        <v>472</v>
      </c>
      <c r="C16" s="63" t="s">
        <v>471</v>
      </c>
      <c r="D16" s="68" t="n">
        <v>420000</v>
      </c>
      <c r="E16" s="78" t="n">
        <v>15</v>
      </c>
      <c r="G16" s="79" t="n">
        <f aca="false">($D16*Inputs!$G$9/Inputs!$G$8)*G$6*Capital!D$7*(1+0.05)*(1+0.25)*Capital!D$43/$E16</f>
        <v>33265.3213681117</v>
      </c>
      <c r="H16" s="79" t="n">
        <f aca="false">($D16*Inputs!$G$9/Inputs!$G$8)*H$6*Capital!E$7*(1+0.05)*(1+0.25)*Capital!E$43/$E16</f>
        <v>33265.3213681117</v>
      </c>
      <c r="I16" s="79" t="n">
        <f aca="false">($D16*Inputs!$G$9/Inputs!$G$8)*I$6*Capital!F$7*(1+0.05)*(1+0.25)*Capital!F$43/$E16</f>
        <v>33368.9013795725</v>
      </c>
      <c r="J16" s="79" t="n">
        <f aca="false">($D16*Inputs!$G$9/Inputs!$G$8)*J$6*Capital!G$7*(1+0.05)*(1+0.25)*Capital!G$43/$E16</f>
        <v>39918.385641734</v>
      </c>
      <c r="K16" s="79" t="n">
        <f aca="false">($D16*Inputs!$G$9/Inputs!$G$8)*K$6*Capital!H$7*(1+0.05)*(1+0.25)*Capital!H$43/$E16</f>
        <v>40042.6816554871</v>
      </c>
      <c r="L16" s="79" t="n">
        <f aca="false">($D16*Inputs!$G$9/Inputs!$G$8)*L$6*Capital!I$7*(1+0.05)*(1+0.25)*Capital!I$43/$E16</f>
        <v>34063.6890809464</v>
      </c>
      <c r="M16" s="79" t="n">
        <f aca="false">($D16*Inputs!$G$9/Inputs!$G$8)*M$6*Capital!J$7*(1+0.05)*(1+0.25)*Capital!J$43/$E16</f>
        <v>41003.7060152187</v>
      </c>
    </row>
    <row r="17" customFormat="false" ht="15" hidden="false" customHeight="true" outlineLevel="0" collapsed="false">
      <c r="B17" s="63" t="s">
        <v>473</v>
      </c>
      <c r="C17" s="63" t="s">
        <v>471</v>
      </c>
      <c r="D17" s="68" t="n">
        <v>350000</v>
      </c>
      <c r="E17" s="78" t="n">
        <v>8</v>
      </c>
      <c r="G17" s="79" t="n">
        <f aca="false">($D17*Inputs!$G$9/Inputs!$G$8)*G$6*Capital!D$7*(1+0.05)*(1+0.25)*Capital!D$43/$E17</f>
        <v>51977.0646376745</v>
      </c>
      <c r="H17" s="79" t="n">
        <f aca="false">($D17*Inputs!$G$9/Inputs!$G$8)*H$6*Capital!E$7*(1+0.05)*(1+0.25)*Capital!E$43/$E17</f>
        <v>51977.0646376745</v>
      </c>
      <c r="I17" s="79" t="n">
        <f aca="false">($D17*Inputs!$G$9/Inputs!$G$8)*I$6*Capital!F$7*(1+0.05)*(1+0.25)*Capital!F$43/$E17</f>
        <v>52138.9084055821</v>
      </c>
      <c r="J17" s="79" t="n">
        <f aca="false">($D17*Inputs!$G$9/Inputs!$G$8)*J$6*Capital!G$7*(1+0.05)*(1+0.25)*Capital!G$43/$E17</f>
        <v>62372.4775652094</v>
      </c>
      <c r="K17" s="79" t="n">
        <f aca="false">($D17*Inputs!$G$9/Inputs!$G$8)*K$6*Capital!H$7*(1+0.05)*(1+0.25)*Capital!H$43/$E17</f>
        <v>62566.6900866985</v>
      </c>
      <c r="L17" s="79" t="n">
        <f aca="false">($D17*Inputs!$G$9/Inputs!$G$8)*L$6*Capital!I$7*(1+0.05)*(1+0.25)*Capital!I$43/$E17</f>
        <v>53224.5141889787</v>
      </c>
      <c r="M17" s="79" t="n">
        <f aca="false">($D17*Inputs!$G$9/Inputs!$G$8)*M$6*Capital!J$7*(1+0.05)*(1+0.25)*Capital!J$43/$E17</f>
        <v>64068.2906487793</v>
      </c>
    </row>
    <row r="18" customFormat="false" ht="15" hidden="false" customHeight="true" outlineLevel="0" collapsed="false">
      <c r="B18" s="55" t="s">
        <v>474</v>
      </c>
      <c r="G18" s="80" t="n">
        <f aca="false">SUM(G8:G17)</f>
        <v>295497.972724056</v>
      </c>
      <c r="H18" s="80" t="n">
        <f aca="false">SUM(H8:H17)</f>
        <v>295497.972724056</v>
      </c>
      <c r="I18" s="80" t="n">
        <f aca="false">SUM(I8:I17)</f>
        <v>325252.574182815</v>
      </c>
      <c r="J18" s="80" t="n">
        <f aca="false">SUM(J8:J17)</f>
        <v>354597.567268867</v>
      </c>
      <c r="K18" s="80" t="n">
        <f aca="false">SUM(K8:K17)</f>
        <v>390303.089019378</v>
      </c>
      <c r="L18" s="80" t="n">
        <f aca="false">SUM(L8:L17)</f>
        <v>302589.924069433</v>
      </c>
      <c r="M18" s="80" t="n">
        <f aca="false">SUM(M8:M17)</f>
        <v>399670.363155843</v>
      </c>
    </row>
    <row r="20" customFormat="false" ht="15" hidden="false" customHeight="true" outlineLevel="0" collapsed="false">
      <c r="B20" s="62" t="s">
        <v>475</v>
      </c>
    </row>
    <row r="21" customFormat="false" ht="15" hidden="false" customHeight="true" outlineLevel="0" collapsed="false">
      <c r="B21" s="62" t="s">
        <v>476</v>
      </c>
    </row>
    <row r="22" customFormat="false" ht="15" hidden="false" customHeight="true" outlineLevel="0" collapsed="false">
      <c r="B22" s="62" t="s">
        <v>477</v>
      </c>
    </row>
    <row r="24" customFormat="false" ht="15" hidden="false" customHeight="true" outlineLevel="0" collapsed="false">
      <c r="B24" s="62" t="s">
        <v>478</v>
      </c>
    </row>
    <row r="25" customFormat="false" ht="15" hidden="false" customHeight="true" outlineLevel="0" collapsed="false">
      <c r="B25" s="55" t="s">
        <v>479</v>
      </c>
      <c r="G25" s="80" t="n">
        <f aca="false">SUMPRODUCT(G$8:G$17,(($E$8:$E$17-0)&gt;=1)*1+(($E$8:$E$17-0)&gt;0)*(($E$8:$E$17-0)&lt;1)*($E$8:$E$17-0))</f>
        <v>295497.972724056</v>
      </c>
      <c r="H25" s="80" t="n">
        <f aca="false">SUMPRODUCT(H$8:H$17,(($E$8:$E$17-0)&gt;=1)*1+(($E$8:$E$17-0)&gt;0)*(($E$8:$E$17-0)&lt;1)*($E$8:$E$17-0))</f>
        <v>295497.972724056</v>
      </c>
      <c r="I25" s="80" t="n">
        <f aca="false">SUMPRODUCT(I$8:I$17,(($E$8:$E$17-0)&gt;=1)*1+(($E$8:$E$17-0)&gt;0)*(($E$8:$E$17-0)&lt;1)*($E$8:$E$17-0))</f>
        <v>325252.574182815</v>
      </c>
      <c r="J25" s="80" t="n">
        <f aca="false">SUMPRODUCT(J$8:J$17,(($E$8:$E$17-0)&gt;=1)*1+(($E$8:$E$17-0)&gt;0)*(($E$8:$E$17-0)&lt;1)*($E$8:$E$17-0))</f>
        <v>354597.567268867</v>
      </c>
      <c r="K25" s="80" t="n">
        <f aca="false">SUMPRODUCT(K$8:K$17,(($E$8:$E$17-0)&gt;=1)*1+(($E$8:$E$17-0)&gt;0)*(($E$8:$E$17-0)&lt;1)*($E$8:$E$17-0))</f>
        <v>390303.089019378</v>
      </c>
      <c r="L25" s="80" t="n">
        <f aca="false">SUMPRODUCT(L$8:L$17,(($E$8:$E$17-0)&gt;=1)*1+(($E$8:$E$17-0)&gt;0)*(($E$8:$E$17-0)&lt;1)*($E$8:$E$17-0))</f>
        <v>302589.924069433</v>
      </c>
      <c r="M25" s="80" t="n">
        <f aca="false">SUMPRODUCT(M$8:M$17,(($E$8:$E$17-0)&gt;=1)*1+(($E$8:$E$17-0)&gt;0)*(($E$8:$E$17-0)&lt;1)*($E$8:$E$17-0))</f>
        <v>399670.363155843</v>
      </c>
    </row>
    <row r="26" customFormat="false" ht="15" hidden="false" customHeight="true" outlineLevel="0" collapsed="false">
      <c r="B26" s="55" t="s">
        <v>480</v>
      </c>
      <c r="G26" s="80" t="n">
        <f aca="false">SUMPRODUCT(G$8:G$17,(($E$8:$E$17-1)&gt;=1)*1+(($E$8:$E$17-1)&gt;0)*(($E$8:$E$17-1)&lt;1)*($E$8:$E$17-1))</f>
        <v>295497.972724056</v>
      </c>
      <c r="H26" s="80" t="n">
        <f aca="false">SUMPRODUCT(H$8:H$17,(($E$8:$E$17-1)&gt;=1)*1+(($E$8:$E$17-1)&gt;0)*(($E$8:$E$17-1)&lt;1)*($E$8:$E$17-1))</f>
        <v>295497.972724056</v>
      </c>
      <c r="I26" s="80" t="n">
        <f aca="false">SUMPRODUCT(I$8:I$17,(($E$8:$E$17-1)&gt;=1)*1+(($E$8:$E$17-1)&gt;0)*(($E$8:$E$17-1)&lt;1)*($E$8:$E$17-1))</f>
        <v>325252.574182815</v>
      </c>
      <c r="J26" s="80" t="n">
        <f aca="false">SUMPRODUCT(J$8:J$17,(($E$8:$E$17-1)&gt;=1)*1+(($E$8:$E$17-1)&gt;0)*(($E$8:$E$17-1)&lt;1)*($E$8:$E$17-1))</f>
        <v>354597.567268867</v>
      </c>
      <c r="K26" s="80" t="n">
        <f aca="false">SUMPRODUCT(K$8:K$17,(($E$8:$E$17-1)&gt;=1)*1+(($E$8:$E$17-1)&gt;0)*(($E$8:$E$17-1)&lt;1)*($E$8:$E$17-1))</f>
        <v>390303.089019378</v>
      </c>
      <c r="L26" s="80" t="n">
        <f aca="false">SUMPRODUCT(L$8:L$17,(($E$8:$E$17-1)&gt;=1)*1+(($E$8:$E$17-1)&gt;0)*(($E$8:$E$17-1)&lt;1)*($E$8:$E$17-1))</f>
        <v>302589.924069433</v>
      </c>
      <c r="M26" s="80" t="n">
        <f aca="false">SUMPRODUCT(M$8:M$17,(($E$8:$E$17-1)&gt;=1)*1+(($E$8:$E$17-1)&gt;0)*(($E$8:$E$17-1)&lt;1)*($E$8:$E$17-1))</f>
        <v>399670.363155843</v>
      </c>
    </row>
    <row r="27" customFormat="false" ht="15" hidden="false" customHeight="true" outlineLevel="0" collapsed="false">
      <c r="B27" s="55" t="s">
        <v>481</v>
      </c>
      <c r="G27" s="80" t="n">
        <f aca="false">SUMPRODUCT(G$8:G$17,(($E$8:$E$17-2)&gt;=1)*1+(($E$8:$E$17-2)&gt;0)*(($E$8:$E$17-2)&lt;1)*($E$8:$E$17-2))</f>
        <v>295497.972724056</v>
      </c>
      <c r="H27" s="80" t="n">
        <f aca="false">SUMPRODUCT(H$8:H$17,(($E$8:$E$17-2)&gt;=1)*1+(($E$8:$E$17-2)&gt;0)*(($E$8:$E$17-2)&lt;1)*($E$8:$E$17-2))</f>
        <v>295497.972724056</v>
      </c>
      <c r="I27" s="80" t="n">
        <f aca="false">SUMPRODUCT(I$8:I$17,(($E$8:$E$17-2)&gt;=1)*1+(($E$8:$E$17-2)&gt;0)*(($E$8:$E$17-2)&lt;1)*($E$8:$E$17-2))</f>
        <v>325252.574182815</v>
      </c>
      <c r="J27" s="80" t="n">
        <f aca="false">SUMPRODUCT(J$8:J$17,(($E$8:$E$17-2)&gt;=1)*1+(($E$8:$E$17-2)&gt;0)*(($E$8:$E$17-2)&lt;1)*($E$8:$E$17-2))</f>
        <v>354597.567268867</v>
      </c>
      <c r="K27" s="80" t="n">
        <f aca="false">SUMPRODUCT(K$8:K$17,(($E$8:$E$17-2)&gt;=1)*1+(($E$8:$E$17-2)&gt;0)*(($E$8:$E$17-2)&lt;1)*($E$8:$E$17-2))</f>
        <v>390303.089019378</v>
      </c>
      <c r="L27" s="80" t="n">
        <f aca="false">SUMPRODUCT(L$8:L$17,(($E$8:$E$17-2)&gt;=1)*1+(($E$8:$E$17-2)&gt;0)*(($E$8:$E$17-2)&lt;1)*($E$8:$E$17-2))</f>
        <v>302589.924069433</v>
      </c>
      <c r="M27" s="80" t="n">
        <f aca="false">SUMPRODUCT(M$8:M$17,(($E$8:$E$17-2)&gt;=1)*1+(($E$8:$E$17-2)&gt;0)*(($E$8:$E$17-2)&lt;1)*($E$8:$E$17-2))</f>
        <v>399670.363155843</v>
      </c>
    </row>
    <row r="28" customFormat="false" ht="15" hidden="false" customHeight="true" outlineLevel="0" collapsed="false">
      <c r="B28" s="55" t="s">
        <v>482</v>
      </c>
      <c r="G28" s="80" t="n">
        <f aca="false">SUMPRODUCT(G$8:G$17,(($E$8:$E$17-3)&gt;=1)*1+(($E$8:$E$17-3)&gt;0)*(($E$8:$E$17-3)&lt;1)*($E$8:$E$17-3))</f>
        <v>295497.972724056</v>
      </c>
      <c r="H28" s="80" t="n">
        <f aca="false">SUMPRODUCT(H$8:H$17,(($E$8:$E$17-3)&gt;=1)*1+(($E$8:$E$17-3)&gt;0)*(($E$8:$E$17-3)&lt;1)*($E$8:$E$17-3))</f>
        <v>295497.972724056</v>
      </c>
      <c r="I28" s="80" t="n">
        <f aca="false">SUMPRODUCT(I$8:I$17,(($E$8:$E$17-3)&gt;=1)*1+(($E$8:$E$17-3)&gt;0)*(($E$8:$E$17-3)&lt;1)*($E$8:$E$17-3))</f>
        <v>325252.574182815</v>
      </c>
      <c r="J28" s="80" t="n">
        <f aca="false">SUMPRODUCT(J$8:J$17,(($E$8:$E$17-3)&gt;=1)*1+(($E$8:$E$17-3)&gt;0)*(($E$8:$E$17-3)&lt;1)*($E$8:$E$17-3))</f>
        <v>354597.567268867</v>
      </c>
      <c r="K28" s="80" t="n">
        <f aca="false">SUMPRODUCT(K$8:K$17,(($E$8:$E$17-3)&gt;=1)*1+(($E$8:$E$17-3)&gt;0)*(($E$8:$E$17-3)&lt;1)*($E$8:$E$17-3))</f>
        <v>390303.089019378</v>
      </c>
      <c r="L28" s="80" t="n">
        <f aca="false">SUMPRODUCT(L$8:L$17,(($E$8:$E$17-3)&gt;=1)*1+(($E$8:$E$17-3)&gt;0)*(($E$8:$E$17-3)&lt;1)*($E$8:$E$17-3))</f>
        <v>302589.924069433</v>
      </c>
      <c r="M28" s="80" t="n">
        <f aca="false">SUMPRODUCT(M$8:M$17,(($E$8:$E$17-3)&gt;=1)*1+(($E$8:$E$17-3)&gt;0)*(($E$8:$E$17-3)&lt;1)*($E$8:$E$17-3))</f>
        <v>399670.363155843</v>
      </c>
    </row>
    <row r="29" customFormat="false" ht="15" hidden="false" customHeight="true" outlineLevel="0" collapsed="false">
      <c r="B29" s="55" t="s">
        <v>483</v>
      </c>
      <c r="G29" s="80" t="n">
        <f aca="false">SUMPRODUCT(G$8:G$17,(($E$8:$E$17-4)&gt;=1)*1+(($E$8:$E$17-4)&gt;0)*(($E$8:$E$17-4)&lt;1)*($E$8:$E$17-4))</f>
        <v>295497.972724056</v>
      </c>
      <c r="H29" s="80" t="n">
        <f aca="false">SUMPRODUCT(H$8:H$17,(($E$8:$E$17-4)&gt;=1)*1+(($E$8:$E$17-4)&gt;0)*(($E$8:$E$17-4)&lt;1)*($E$8:$E$17-4))</f>
        <v>295497.972724056</v>
      </c>
      <c r="I29" s="80" t="n">
        <f aca="false">SUMPRODUCT(I$8:I$17,(($E$8:$E$17-4)&gt;=1)*1+(($E$8:$E$17-4)&gt;0)*(($E$8:$E$17-4)&lt;1)*($E$8:$E$17-4))</f>
        <v>325252.574182815</v>
      </c>
      <c r="J29" s="80" t="n">
        <f aca="false">SUMPRODUCT(J$8:J$17,(($E$8:$E$17-4)&gt;=1)*1+(($E$8:$E$17-4)&gt;0)*(($E$8:$E$17-4)&lt;1)*($E$8:$E$17-4))</f>
        <v>354597.567268867</v>
      </c>
      <c r="K29" s="80" t="n">
        <f aca="false">SUMPRODUCT(K$8:K$17,(($E$8:$E$17-4)&gt;=1)*1+(($E$8:$E$17-4)&gt;0)*(($E$8:$E$17-4)&lt;1)*($E$8:$E$17-4))</f>
        <v>390303.089019378</v>
      </c>
      <c r="L29" s="80" t="n">
        <f aca="false">SUMPRODUCT(L$8:L$17,(($E$8:$E$17-4)&gt;=1)*1+(($E$8:$E$17-4)&gt;0)*(($E$8:$E$17-4)&lt;1)*($E$8:$E$17-4))</f>
        <v>302589.924069433</v>
      </c>
      <c r="M29" s="80" t="n">
        <f aca="false">SUMPRODUCT(M$8:M$17,(($E$8:$E$17-4)&gt;=1)*1+(($E$8:$E$17-4)&gt;0)*(($E$8:$E$17-4)&lt;1)*($E$8:$E$17-4))</f>
        <v>399670.363155843</v>
      </c>
    </row>
    <row r="30" customFormat="false" ht="15" hidden="false" customHeight="true" outlineLevel="0" collapsed="false">
      <c r="B30" s="62" t="s">
        <v>484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W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customHeight="true" zeroHeight="false" outlineLevelRow="0" outlineLevelCol="0"/>
  <cols>
    <col collapsed="false" customWidth="true" hidden="false" outlineLevel="0" max="2" min="2" style="1" width="52"/>
    <col collapsed="false" customWidth="true" hidden="false" outlineLevel="0" max="21" min="4" style="1" width="13"/>
    <col collapsed="false" customWidth="true" hidden="false" outlineLevel="0" max="23" min="23" style="1" width="13"/>
  </cols>
  <sheetData>
    <row r="2" customFormat="false" ht="15.75" hidden="false" customHeight="true" outlineLevel="0" collapsed="false">
      <c r="B2" s="75" t="s">
        <v>485</v>
      </c>
    </row>
    <row r="3" customFormat="false" ht="15" hidden="false" customHeight="true" outlineLevel="0" collapsed="false">
      <c r="B3" s="62" t="s">
        <v>486</v>
      </c>
    </row>
    <row r="5" customFormat="false" ht="15" hidden="false" customHeight="true" outlineLevel="0" collapsed="false">
      <c r="B5" s="55" t="s">
        <v>487</v>
      </c>
      <c r="D5" s="86" t="n">
        <v>1</v>
      </c>
      <c r="E5" s="86" t="n">
        <v>2</v>
      </c>
      <c r="F5" s="86" t="n">
        <v>3</v>
      </c>
      <c r="G5" s="86" t="n">
        <v>4</v>
      </c>
      <c r="H5" s="86" t="n">
        <v>5</v>
      </c>
      <c r="I5" s="86" t="n">
        <v>6</v>
      </c>
      <c r="J5" s="86" t="n">
        <v>7</v>
      </c>
      <c r="K5" s="86" t="n">
        <v>8</v>
      </c>
      <c r="L5" s="86" t="n">
        <v>9</v>
      </c>
      <c r="M5" s="86" t="n">
        <v>10</v>
      </c>
      <c r="N5" s="86" t="n">
        <v>11</v>
      </c>
      <c r="O5" s="86" t="n">
        <v>12</v>
      </c>
      <c r="P5" s="86" t="n">
        <v>13</v>
      </c>
      <c r="Q5" s="86" t="n">
        <v>14</v>
      </c>
      <c r="R5" s="86" t="n">
        <v>15</v>
      </c>
      <c r="S5" s="86" t="n">
        <v>16</v>
      </c>
      <c r="T5" s="86" t="n">
        <v>17</v>
      </c>
      <c r="U5" s="86" t="n">
        <v>18</v>
      </c>
      <c r="W5" s="55" t="s">
        <v>488</v>
      </c>
    </row>
    <row r="6" customFormat="false" ht="30" hidden="false" customHeight="true" outlineLevel="0" collapsed="false">
      <c r="B6" s="87" t="s">
        <v>489</v>
      </c>
      <c r="C6" s="76"/>
      <c r="D6" s="87" t="s">
        <v>490</v>
      </c>
      <c r="E6" s="87" t="s">
        <v>490</v>
      </c>
      <c r="F6" s="87" t="s">
        <v>490</v>
      </c>
      <c r="G6" s="87" t="s">
        <v>491</v>
      </c>
      <c r="H6" s="87" t="s">
        <v>491</v>
      </c>
      <c r="I6" s="87" t="s">
        <v>491</v>
      </c>
      <c r="J6" s="87" t="s">
        <v>492</v>
      </c>
      <c r="K6" s="87" t="s">
        <v>492</v>
      </c>
      <c r="L6" s="87" t="s">
        <v>492</v>
      </c>
      <c r="M6" s="87" t="s">
        <v>492</v>
      </c>
      <c r="N6" s="87" t="s">
        <v>492</v>
      </c>
      <c r="O6" s="87" t="s">
        <v>492</v>
      </c>
      <c r="P6" s="87" t="s">
        <v>493</v>
      </c>
      <c r="Q6" s="87" t="s">
        <v>493</v>
      </c>
      <c r="R6" s="87" t="s">
        <v>493</v>
      </c>
      <c r="S6" s="87" t="s">
        <v>494</v>
      </c>
      <c r="T6" s="87" t="s">
        <v>494</v>
      </c>
      <c r="U6" s="87" t="s">
        <v>494</v>
      </c>
      <c r="V6" s="76"/>
      <c r="W6" s="76"/>
    </row>
    <row r="7" customFormat="false" ht="15" hidden="false" customHeight="true" outlineLevel="0" collapsed="false">
      <c r="B7" s="63" t="s">
        <v>495</v>
      </c>
      <c r="D7" s="56" t="n">
        <v>0.02</v>
      </c>
      <c r="E7" s="56" t="n">
        <v>0.02</v>
      </c>
      <c r="F7" s="56" t="n">
        <v>0.02</v>
      </c>
      <c r="G7" s="56" t="n">
        <v>0.04</v>
      </c>
      <c r="H7" s="56" t="n">
        <v>0.04</v>
      </c>
      <c r="I7" s="56" t="n">
        <v>0.04</v>
      </c>
      <c r="J7" s="56" t="n">
        <v>0.08</v>
      </c>
      <c r="K7" s="56" t="n">
        <v>0.08</v>
      </c>
      <c r="L7" s="56" t="n">
        <v>0.08</v>
      </c>
      <c r="M7" s="56" t="n">
        <v>0.08</v>
      </c>
      <c r="N7" s="56" t="n">
        <v>0.08</v>
      </c>
      <c r="O7" s="56" t="n">
        <v>0.08</v>
      </c>
      <c r="P7" s="56" t="n">
        <v>0.07</v>
      </c>
      <c r="Q7" s="56" t="n">
        <v>0.07</v>
      </c>
      <c r="R7" s="56" t="n">
        <v>0.07</v>
      </c>
      <c r="S7" s="56" t="n">
        <v>0.05</v>
      </c>
      <c r="T7" s="56" t="n">
        <v>0.04</v>
      </c>
      <c r="U7" s="56" t="n">
        <v>0.04</v>
      </c>
      <c r="W7" s="88" t="n">
        <f aca="false">SUM(D7:U7)</f>
        <v>1</v>
      </c>
    </row>
    <row r="8" customFormat="false" ht="15" hidden="false" customHeight="true" outlineLevel="0" collapsed="false">
      <c r="B8" s="63" t="s">
        <v>496</v>
      </c>
      <c r="D8" s="89" t="n">
        <f aca="false">D7*Capital!$D$28</f>
        <v>70764.0808615914</v>
      </c>
      <c r="E8" s="89" t="n">
        <f aca="false">E7*Capital!$D$28</f>
        <v>70764.0808615914</v>
      </c>
      <c r="F8" s="89" t="n">
        <f aca="false">F7*Capital!$D$28</f>
        <v>70764.0808615914</v>
      </c>
      <c r="G8" s="89" t="n">
        <f aca="false">G7*Capital!$D$28</f>
        <v>141528.161723183</v>
      </c>
      <c r="H8" s="89" t="n">
        <f aca="false">H7*Capital!$D$28</f>
        <v>141528.161723183</v>
      </c>
      <c r="I8" s="89" t="n">
        <f aca="false">I7*Capital!$D$28</f>
        <v>141528.161723183</v>
      </c>
      <c r="J8" s="89" t="n">
        <f aca="false">J7*Capital!$D$28</f>
        <v>283056.323446366</v>
      </c>
      <c r="K8" s="89" t="n">
        <f aca="false">K7*Capital!$D$28</f>
        <v>283056.323446366</v>
      </c>
      <c r="L8" s="89" t="n">
        <f aca="false">L7*Capital!$D$28</f>
        <v>283056.323446366</v>
      </c>
      <c r="M8" s="89" t="n">
        <f aca="false">M7*Capital!$D$28</f>
        <v>283056.323446366</v>
      </c>
      <c r="N8" s="89" t="n">
        <f aca="false">N7*Capital!$D$28</f>
        <v>283056.323446366</v>
      </c>
      <c r="O8" s="89" t="n">
        <f aca="false">O7*Capital!$D$28</f>
        <v>283056.323446366</v>
      </c>
      <c r="P8" s="89" t="n">
        <f aca="false">P7*Capital!$D$28</f>
        <v>247674.28301557</v>
      </c>
      <c r="Q8" s="89" t="n">
        <f aca="false">Q7*Capital!$D$28</f>
        <v>247674.28301557</v>
      </c>
      <c r="R8" s="89" t="n">
        <f aca="false">R7*Capital!$D$28</f>
        <v>247674.28301557</v>
      </c>
      <c r="S8" s="89" t="n">
        <f aca="false">S7*Capital!$D$28</f>
        <v>176910.202153979</v>
      </c>
      <c r="T8" s="89" t="n">
        <f aca="false">T7*Capital!$D$28</f>
        <v>141528.161723183</v>
      </c>
      <c r="U8" s="89" t="n">
        <f aca="false">U7*Capital!$D$28</f>
        <v>141528.161723183</v>
      </c>
      <c r="W8" s="80" t="n">
        <f aca="false">SUM(D8:U8)</f>
        <v>3538204.04307957</v>
      </c>
    </row>
    <row r="9" customFormat="false" ht="15" hidden="false" customHeight="true" outlineLevel="0" collapsed="false">
      <c r="B9" s="63" t="s">
        <v>497</v>
      </c>
      <c r="D9" s="90" t="n">
        <v>0.0333333333333333</v>
      </c>
      <c r="E9" s="90" t="n">
        <v>0.0333333333333333</v>
      </c>
      <c r="F9" s="90" t="n">
        <v>0.0333333333333333</v>
      </c>
      <c r="G9" s="90" t="n">
        <v>0.05</v>
      </c>
      <c r="H9" s="90" t="n">
        <v>0.05</v>
      </c>
      <c r="I9" s="90" t="n">
        <v>0.05</v>
      </c>
      <c r="J9" s="90" t="n">
        <v>0.0416666666666667</v>
      </c>
      <c r="K9" s="90" t="n">
        <v>0.0416666666666667</v>
      </c>
      <c r="L9" s="90" t="n">
        <v>0.0416666666666667</v>
      </c>
      <c r="M9" s="90" t="n">
        <v>0.0416666666666667</v>
      </c>
      <c r="N9" s="90" t="n">
        <v>0.0416666666666667</v>
      </c>
      <c r="O9" s="90" t="n">
        <v>0.0416666666666667</v>
      </c>
      <c r="P9" s="90" t="n">
        <v>0.0666666666666667</v>
      </c>
      <c r="Q9" s="90" t="n">
        <v>0.0666666666666667</v>
      </c>
      <c r="R9" s="90" t="n">
        <v>0.0666666666666667</v>
      </c>
      <c r="S9" s="90" t="n">
        <v>0.1</v>
      </c>
      <c r="T9" s="90" t="n">
        <v>0.1</v>
      </c>
      <c r="U9" s="90" t="n">
        <v>0.1</v>
      </c>
      <c r="W9" s="88" t="n">
        <f aca="false">SUM(D9:U9)</f>
        <v>1</v>
      </c>
    </row>
    <row r="10" customFormat="false" ht="15" hidden="false" customHeight="true" outlineLevel="0" collapsed="false">
      <c r="B10" s="63" t="s">
        <v>498</v>
      </c>
      <c r="D10" s="89" t="n">
        <f aca="false">D9*(Capital!$D$29+Capital!$D$31)</f>
        <v>7815.18631062826</v>
      </c>
      <c r="E10" s="89" t="n">
        <f aca="false">E9*(Capital!$D$29+Capital!$D$31)</f>
        <v>7815.18631062826</v>
      </c>
      <c r="F10" s="89" t="n">
        <f aca="false">F9*(Capital!$D$29+Capital!$D$31)</f>
        <v>7815.18631062826</v>
      </c>
      <c r="G10" s="89" t="n">
        <f aca="false">G9*(Capital!$D$29+Capital!$D$31)</f>
        <v>11722.7794659424</v>
      </c>
      <c r="H10" s="89" t="n">
        <f aca="false">H9*(Capital!$D$29+Capital!$D$31)</f>
        <v>11722.7794659424</v>
      </c>
      <c r="I10" s="89" t="n">
        <f aca="false">I9*(Capital!$D$29+Capital!$D$31)</f>
        <v>11722.7794659424</v>
      </c>
      <c r="J10" s="89" t="n">
        <f aca="false">J9*(Capital!$D$29+Capital!$D$31)</f>
        <v>9768.98288828534</v>
      </c>
      <c r="K10" s="89" t="n">
        <f aca="false">K9*(Capital!$D$29+Capital!$D$31)</f>
        <v>9768.98288828534</v>
      </c>
      <c r="L10" s="89" t="n">
        <f aca="false">L9*(Capital!$D$29+Capital!$D$31)</f>
        <v>9768.98288828534</v>
      </c>
      <c r="M10" s="89" t="n">
        <f aca="false">M9*(Capital!$D$29+Capital!$D$31)</f>
        <v>9768.98288828534</v>
      </c>
      <c r="N10" s="89" t="n">
        <f aca="false">N9*(Capital!$D$29+Capital!$D$31)</f>
        <v>9768.98288828534</v>
      </c>
      <c r="O10" s="89" t="n">
        <f aca="false">O9*(Capital!$D$29+Capital!$D$31)</f>
        <v>9768.98288828534</v>
      </c>
      <c r="P10" s="89" t="n">
        <f aca="false">P9*(Capital!$D$29+Capital!$D$31)</f>
        <v>15630.3726212565</v>
      </c>
      <c r="Q10" s="89" t="n">
        <f aca="false">Q9*(Capital!$D$29+Capital!$D$31)</f>
        <v>15630.3726212565</v>
      </c>
      <c r="R10" s="89" t="n">
        <f aca="false">R9*(Capital!$D$29+Capital!$D$31)</f>
        <v>15630.3726212565</v>
      </c>
      <c r="S10" s="89" t="n">
        <f aca="false">S9*(Capital!$D$29+Capital!$D$31)</f>
        <v>23445.5589318848</v>
      </c>
      <c r="T10" s="89" t="n">
        <f aca="false">T9*(Capital!$D$29+Capital!$D$31)</f>
        <v>23445.5589318848</v>
      </c>
      <c r="U10" s="89" t="n">
        <f aca="false">U9*(Capital!$D$29+Capital!$D$31)</f>
        <v>23445.5589318848</v>
      </c>
      <c r="W10" s="80" t="n">
        <f aca="false">SUM(D10:U10)</f>
        <v>234455.589318848</v>
      </c>
    </row>
    <row r="11" customFormat="false" ht="15" hidden="false" customHeight="true" outlineLevel="0" collapsed="false">
      <c r="B11" s="63" t="s">
        <v>499</v>
      </c>
      <c r="D11" s="89" t="n">
        <v>0</v>
      </c>
      <c r="E11" s="89" t="n">
        <v>0</v>
      </c>
      <c r="F11" s="89" t="n">
        <v>0</v>
      </c>
      <c r="G11" s="89" t="n">
        <v>0</v>
      </c>
      <c r="H11" s="89" t="n">
        <v>0</v>
      </c>
      <c r="I11" s="89" t="n">
        <v>0</v>
      </c>
      <c r="J11" s="89" t="n">
        <v>0</v>
      </c>
      <c r="K11" s="89" t="n">
        <v>0</v>
      </c>
      <c r="L11" s="89" t="n">
        <v>0</v>
      </c>
      <c r="M11" s="89" t="n">
        <v>0</v>
      </c>
      <c r="N11" s="89" t="n">
        <v>0</v>
      </c>
      <c r="O11" s="89" t="n">
        <v>0</v>
      </c>
      <c r="P11" s="89" t="n">
        <v>0</v>
      </c>
      <c r="Q11" s="89" t="n">
        <v>0</v>
      </c>
      <c r="R11" s="89" t="n">
        <v>0</v>
      </c>
      <c r="S11" s="89" t="n">
        <v>0</v>
      </c>
      <c r="T11" s="89" t="n">
        <v>0</v>
      </c>
      <c r="U11" s="89" t="n">
        <v>0</v>
      </c>
      <c r="W11" s="80" t="n">
        <f aca="false">SUM(D11:U11)</f>
        <v>0</v>
      </c>
    </row>
    <row r="12" customFormat="false" ht="15" hidden="false" customHeight="true" outlineLevel="0" collapsed="false">
      <c r="B12" s="63" t="s">
        <v>500</v>
      </c>
      <c r="D12" s="79" t="n">
        <f aca="false">0.2*(D10+D11)</f>
        <v>1563.03726212565</v>
      </c>
      <c r="E12" s="79" t="n">
        <f aca="false">0.2*(E10+E11)</f>
        <v>1563.03726212565</v>
      </c>
      <c r="F12" s="79" t="n">
        <f aca="false">0.2*(F10+F11)</f>
        <v>1563.03726212565</v>
      </c>
      <c r="G12" s="79" t="n">
        <f aca="false">0.2*(G10+G11)</f>
        <v>2344.55589318848</v>
      </c>
      <c r="H12" s="79" t="n">
        <f aca="false">0.2*(H10+H11)</f>
        <v>2344.55589318848</v>
      </c>
      <c r="I12" s="79" t="n">
        <f aca="false">0.2*(I10+I11)</f>
        <v>2344.55589318848</v>
      </c>
      <c r="J12" s="79" t="n">
        <f aca="false">0.2*(J10+J11)</f>
        <v>1953.79657765707</v>
      </c>
      <c r="K12" s="79" t="n">
        <f aca="false">0.2*(K10+K11)</f>
        <v>1953.79657765707</v>
      </c>
      <c r="L12" s="79" t="n">
        <f aca="false">0.2*(L10+L11)</f>
        <v>1953.79657765707</v>
      </c>
      <c r="M12" s="79" t="n">
        <f aca="false">0.2*(M10+M11)</f>
        <v>1953.79657765707</v>
      </c>
      <c r="N12" s="79" t="n">
        <f aca="false">0.2*(N10+N11)</f>
        <v>1953.79657765707</v>
      </c>
      <c r="O12" s="79" t="n">
        <f aca="false">0.2*(O10+O11)</f>
        <v>1953.79657765707</v>
      </c>
      <c r="P12" s="79" t="n">
        <f aca="false">0.2*(P10+P11)</f>
        <v>3126.07452425131</v>
      </c>
      <c r="Q12" s="79" t="n">
        <f aca="false">0.2*(Q10+Q11)</f>
        <v>3126.07452425131</v>
      </c>
      <c r="R12" s="79" t="n">
        <f aca="false">0.2*(R10+R11)</f>
        <v>3126.07452425131</v>
      </c>
      <c r="S12" s="79" t="n">
        <f aca="false">0.2*(S10+S11)</f>
        <v>4689.11178637696</v>
      </c>
      <c r="T12" s="79" t="n">
        <f aca="false">0.2*(T10+T11)</f>
        <v>4689.11178637696</v>
      </c>
      <c r="U12" s="79" t="n">
        <f aca="false">0.2*(U10+U11)</f>
        <v>4689.11178637696</v>
      </c>
      <c r="W12" s="80" t="n">
        <f aca="false">SUM(D12:U12)</f>
        <v>46891.1178637696</v>
      </c>
    </row>
    <row r="13" customFormat="false" ht="15" hidden="false" customHeight="true" outlineLevel="0" collapsed="false">
      <c r="B13" s="63" t="s">
        <v>501</v>
      </c>
      <c r="D13" s="89" t="n">
        <f aca="false">Capital!$D$35</f>
        <v>0</v>
      </c>
      <c r="W13" s="80" t="n">
        <f aca="false">SUM(D13:U13)</f>
        <v>0</v>
      </c>
    </row>
    <row r="14" customFormat="false" ht="15" hidden="false" customHeight="true" outlineLevel="0" collapsed="false">
      <c r="B14" s="55" t="s">
        <v>502</v>
      </c>
      <c r="D14" s="80" t="n">
        <f aca="false">D8+D10+D11+D12+IF(ISBLANK(D13),0,D13)</f>
        <v>80142.3044343453</v>
      </c>
      <c r="E14" s="80" t="n">
        <f aca="false">E8+E10+E11+E12+IF(ISBLANK(E13),0,E13)</f>
        <v>80142.3044343453</v>
      </c>
      <c r="F14" s="80" t="n">
        <f aca="false">F8+F10+F11+F12+IF(ISBLANK(F13),0,F13)</f>
        <v>80142.3044343453</v>
      </c>
      <c r="G14" s="80" t="n">
        <f aca="false">G8+G10+G11+G12+IF(ISBLANK(G13),0,G13)</f>
        <v>155595.497082314</v>
      </c>
      <c r="H14" s="80" t="n">
        <f aca="false">H8+H10+H11+H12+IF(ISBLANK(H13),0,H13)</f>
        <v>155595.497082314</v>
      </c>
      <c r="I14" s="80" t="n">
        <f aca="false">I8+I10+I11+I12+IF(ISBLANK(I13),0,I13)</f>
        <v>155595.497082314</v>
      </c>
      <c r="J14" s="80" t="n">
        <f aca="false">J8+J10+J11+J12+IF(ISBLANK(J13),0,J13)</f>
        <v>294779.102912308</v>
      </c>
      <c r="K14" s="80" t="n">
        <f aca="false">K8+K10+K11+K12+IF(ISBLANK(K13),0,K13)</f>
        <v>294779.102912308</v>
      </c>
      <c r="L14" s="80" t="n">
        <f aca="false">L8+L10+L11+L12+IF(ISBLANK(L13),0,L13)</f>
        <v>294779.102912308</v>
      </c>
      <c r="M14" s="80" t="n">
        <f aca="false">M8+M10+M11+M12+IF(ISBLANK(M13),0,M13)</f>
        <v>294779.102912308</v>
      </c>
      <c r="N14" s="80" t="n">
        <f aca="false">N8+N10+N11+N12+IF(ISBLANK(N13),0,N13)</f>
        <v>294779.102912308</v>
      </c>
      <c r="O14" s="80" t="n">
        <f aca="false">O8+O10+O11+O12+IF(ISBLANK(O13),0,O13)</f>
        <v>294779.102912308</v>
      </c>
      <c r="P14" s="80" t="n">
        <f aca="false">P8+P10+P11+P12+IF(ISBLANK(P13),0,P13)</f>
        <v>266430.730161078</v>
      </c>
      <c r="Q14" s="80" t="n">
        <f aca="false">Q8+Q10+Q11+Q12+IF(ISBLANK(Q13),0,Q13)</f>
        <v>266430.730161078</v>
      </c>
      <c r="R14" s="80" t="n">
        <f aca="false">R8+R10+R11+R12+IF(ISBLANK(R13),0,R13)</f>
        <v>266430.730161078</v>
      </c>
      <c r="S14" s="80" t="n">
        <f aca="false">S8+S10+S11+S12+IF(ISBLANK(S13),0,S13)</f>
        <v>205044.87287224</v>
      </c>
      <c r="T14" s="80" t="n">
        <f aca="false">T8+T10+T11+T12+IF(ISBLANK(T13),0,T13)</f>
        <v>169662.832441445</v>
      </c>
      <c r="U14" s="80" t="n">
        <f aca="false">U8+U10+U11+U12+IF(ISBLANK(U13),0,U13)</f>
        <v>169662.832441445</v>
      </c>
      <c r="W14" s="80" t="n">
        <f aca="false">SUM(D14:U14)</f>
        <v>3819550.75026219</v>
      </c>
    </row>
    <row r="15" customFormat="false" ht="15" hidden="false" customHeight="true" outlineLevel="0" collapsed="false">
      <c r="B15" s="63" t="s">
        <v>503</v>
      </c>
      <c r="D15" s="89" t="n">
        <f aca="false">Capital!$D$37</f>
        <v>4619550.75026219</v>
      </c>
    </row>
    <row r="16" customFormat="false" ht="15" hidden="false" customHeight="true" outlineLevel="0" collapsed="false">
      <c r="B16" s="55" t="s">
        <v>504</v>
      </c>
      <c r="D16" s="80" t="n">
        <f aca="false">D15-D14</f>
        <v>4539408.44582784</v>
      </c>
      <c r="E16" s="80" t="n">
        <f aca="false">D16-E14</f>
        <v>4459266.1413935</v>
      </c>
      <c r="F16" s="80" t="n">
        <f aca="false">E16-F14</f>
        <v>4379123.83695915</v>
      </c>
      <c r="G16" s="80" t="n">
        <f aca="false">F16-G14</f>
        <v>4223528.33987684</v>
      </c>
      <c r="H16" s="80" t="n">
        <f aca="false">G16-H14</f>
        <v>4067932.84279453</v>
      </c>
      <c r="I16" s="80" t="n">
        <f aca="false">H16-I14</f>
        <v>3912337.34571221</v>
      </c>
      <c r="J16" s="80" t="n">
        <f aca="false">I16-J14</f>
        <v>3617558.2427999</v>
      </c>
      <c r="K16" s="80" t="n">
        <f aca="false">J16-K14</f>
        <v>3322779.1398876</v>
      </c>
      <c r="L16" s="80" t="n">
        <f aca="false">K16-L14</f>
        <v>3028000.03697529</v>
      </c>
      <c r="M16" s="80" t="n">
        <f aca="false">L16-M14</f>
        <v>2733220.93406298</v>
      </c>
      <c r="N16" s="80" t="n">
        <f aca="false">M16-N14</f>
        <v>2438441.83115067</v>
      </c>
      <c r="O16" s="80" t="n">
        <f aca="false">N16-O14</f>
        <v>2143662.72823836</v>
      </c>
      <c r="P16" s="80" t="n">
        <f aca="false">O16-P14</f>
        <v>1877231.99807729</v>
      </c>
      <c r="Q16" s="80" t="n">
        <f aca="false">P16-Q14</f>
        <v>1610801.26791621</v>
      </c>
      <c r="R16" s="80" t="n">
        <f aca="false">Q16-R14</f>
        <v>1344370.53775513</v>
      </c>
      <c r="S16" s="80" t="n">
        <f aca="false">R16-S14</f>
        <v>1139325.66488289</v>
      </c>
      <c r="T16" s="80" t="n">
        <f aca="false">S16-T14</f>
        <v>969662.832441445</v>
      </c>
      <c r="U16" s="80" t="n">
        <f aca="false">T16-U14</f>
        <v>800000</v>
      </c>
    </row>
    <row r="18" customFormat="false" ht="15" hidden="false" customHeight="true" outlineLevel="0" collapsed="false">
      <c r="B18" s="55" t="s">
        <v>505</v>
      </c>
      <c r="D18" s="80" t="n">
        <f aca="false">U16</f>
        <v>800000</v>
      </c>
    </row>
    <row r="19" customFormat="false" ht="15" hidden="false" customHeight="true" outlineLevel="0" collapsed="false">
      <c r="B19" s="63" t="s">
        <v>506</v>
      </c>
      <c r="D19" s="79" t="n">
        <f aca="false">Inputs!$D$55</f>
        <v>800000</v>
      </c>
    </row>
    <row r="20" customFormat="false" ht="15" hidden="false" customHeight="true" outlineLevel="0" collapsed="false">
      <c r="B20" s="63" t="s">
        <v>507</v>
      </c>
      <c r="D20" s="91" t="str">
        <f aca="false">IF(ABS(D18-D19)&lt;1,"OK","CHECK")</f>
        <v>OK</v>
      </c>
    </row>
    <row r="22" customFormat="false" ht="15" hidden="false" customHeight="true" outlineLevel="0" collapsed="false">
      <c r="B22" s="62" t="s">
        <v>508</v>
      </c>
    </row>
    <row r="23" customFormat="false" ht="15" hidden="false" customHeight="true" outlineLevel="0" collapsed="false">
      <c r="B23" s="62" t="s">
        <v>509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LibreOffice/25.2.6.2$Linux_X86_64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2026-09-11T16:38:02Z</dcterms:created>
  <dc:creator>openpyxl</dc:creator>
  <dc:description/>
  <dc:language>en-US</dc:language>
  <cp:lastModifiedBy/>
  <dcterms:modified xsi:type="dcterms:W3CDTF">2026-09-12T03:56:31Z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